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2"/>
  <workbookPr showInkAnnotation="0" updateLinks="never" codeName="ThisWorkbook" autoCompressPictures="0"/>
  <mc:AlternateContent xmlns:mc="http://schemas.openxmlformats.org/markup-compatibility/2006">
    <mc:Choice Requires="x15">
      <x15ac:absPath xmlns:x15ac="http://schemas.microsoft.com/office/spreadsheetml/2010/11/ac" url="/Users/tjbittner/Dropbox/Documents/UWSA/Planning/Workshops/Forms/"/>
    </mc:Choice>
  </mc:AlternateContent>
  <xr:revisionPtr revIDLastSave="0" documentId="13_ncr:1_{CB72CC4A-324B-C74C-B739-DD24BDD86964}" xr6:coauthVersionLast="47" xr6:coauthVersionMax="47" xr10:uidLastSave="{00000000-0000-0000-0000-000000000000}"/>
  <bookViews>
    <workbookView xWindow="23060" yWindow="520" windowWidth="23780" windowHeight="27040" tabRatio="851" activeTab="3" xr2:uid="{00000000-000D-0000-FFFF-FFFF00000000}"/>
  </bookViews>
  <sheets>
    <sheet name="Quick Inflation Factor Update" sheetId="22" r:id="rId1"/>
    <sheet name="Quick Inflation Date Update" sheetId="16" r:id="rId2"/>
    <sheet name="PBW_Summary" sheetId="4" r:id="rId3"/>
    <sheet name="PBW" sheetId="2" r:id="rId4"/>
    <sheet name="PBW_Summary_NoInflation" sheetId="32" r:id="rId5"/>
    <sheet name="PBW_NoInflation" sheetId="25" r:id="rId6"/>
    <sheet name="ENR" sheetId="33" r:id="rId7"/>
    <sheet name="DFD Inflation Estimation Tool" sheetId="29" r:id="rId8"/>
    <sheet name="DFD Inflation Summary" sheetId="28" r:id="rId9"/>
    <sheet name="UWSA Escalation Calculation" sheetId="27" r:id="rId10"/>
    <sheet name="READ ME" sheetId="21" r:id="rId11"/>
    <sheet name="COST GUIDELINES" sheetId="20" r:id="rId12"/>
    <sheet name="SAMPLE" sheetId="34" r:id="rId13"/>
    <sheet name="LOOKUPS" sheetId="24" r:id="rId14"/>
  </sheets>
  <definedNames>
    <definedName name="DURATION">LOOKUPS!$F$2:$H$7</definedName>
    <definedName name="ENR" localSheetId="11">PBW!$H$13</definedName>
    <definedName name="ENR" localSheetId="5">PBW_NoInflation!$H$12</definedName>
    <definedName name="ENR" localSheetId="10">PBW!$H$13</definedName>
    <definedName name="ENR" localSheetId="12">SAMPLE!$H$12</definedName>
    <definedName name="ENR">PBW!$H$12</definedName>
    <definedName name="ENRbyTrade" localSheetId="11">#REF!</definedName>
    <definedName name="ENRbyTrade" localSheetId="10">#REF!</definedName>
    <definedName name="ENRbyTrade">#REF!</definedName>
    <definedName name="INFLATION">#REF!</definedName>
    <definedName name="_xlnm.Print_Area" localSheetId="11">'COST GUIDELINES'!$A$1:$F$53</definedName>
    <definedName name="_xlnm.Print_Area" localSheetId="3">PBW!$A$1:$H$191</definedName>
    <definedName name="_xlnm.Print_Area" localSheetId="5">PBW_NoInflation!$A$1:$H$191</definedName>
    <definedName name="_xlnm.Print_Area" localSheetId="2">PBW_Summary!$A$1:$H$42</definedName>
    <definedName name="_xlnm.Print_Area" localSheetId="4">PBW_Summary_NoInflation!$A$1:$H$42</definedName>
    <definedName name="_xlnm.Print_Area" localSheetId="1">'Quick Inflation Date Update'!$A$1:$D$51</definedName>
    <definedName name="_xlnm.Print_Area" localSheetId="0">'Quick Inflation Factor Update'!$A$1:$D$51</definedName>
    <definedName name="_xlnm.Print_Area" localSheetId="10">'READ ME'!$A$1:$B$42</definedName>
    <definedName name="_xlnm.Print_Area" localSheetId="12">SAMPLE!$A$1:$H$191</definedName>
    <definedName name="PROJECTTYPE">LOOKUPS!$C$2:$D$8</definedName>
    <definedName name="TOTCONST" localSheetId="11">PBW!$H$128</definedName>
    <definedName name="TOTCONST" localSheetId="5">PBW_NoInflation!$H$128</definedName>
    <definedName name="TOTCONST" localSheetId="10">PBW!$H$128</definedName>
    <definedName name="TOTCONST" localSheetId="12">SAMPLE!$H$128</definedName>
    <definedName name="TOTCONST">PBW!$H$128</definedName>
    <definedName name="VERSION">LOOKUPS!$A$1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33" i="16" l="1"/>
  <c r="A12" i="16"/>
  <c r="B15" i="16"/>
  <c r="B15" i="22" l="1"/>
  <c r="C135" i="25"/>
  <c r="A126" i="2"/>
  <c r="A125" i="2"/>
  <c r="H116" i="2"/>
  <c r="H115" i="2"/>
  <c r="H114" i="2"/>
  <c r="H113" i="2"/>
  <c r="H112" i="2"/>
  <c r="H111" i="2"/>
  <c r="H110" i="2"/>
  <c r="H109"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123" i="2"/>
  <c r="H117" i="2"/>
  <c r="A65" i="2"/>
  <c r="A64" i="2"/>
  <c r="G9" i="34"/>
  <c r="G9" i="2"/>
  <c r="H106" i="2" l="1"/>
  <c r="A5" i="16"/>
  <c r="C4" i="29"/>
  <c r="H3" i="2"/>
  <c r="H1" i="34"/>
  <c r="E170" i="34"/>
  <c r="G158" i="34"/>
  <c r="D157" i="34"/>
  <c r="E157" i="34" s="1"/>
  <c r="C143" i="34"/>
  <c r="A126" i="34"/>
  <c r="B125" i="34"/>
  <c r="A125" i="34"/>
  <c r="H123" i="34"/>
  <c r="E137" i="34" s="1"/>
  <c r="H116" i="34"/>
  <c r="H115" i="34"/>
  <c r="H114" i="34"/>
  <c r="H113" i="34"/>
  <c r="H112" i="34"/>
  <c r="H111" i="34"/>
  <c r="H110" i="34"/>
  <c r="H109" i="34"/>
  <c r="H105" i="34"/>
  <c r="H104" i="34"/>
  <c r="H103" i="34"/>
  <c r="H102" i="34"/>
  <c r="H101" i="34"/>
  <c r="H100" i="34"/>
  <c r="H99" i="34"/>
  <c r="H98" i="34"/>
  <c r="H97" i="34"/>
  <c r="H96" i="34"/>
  <c r="H95" i="34"/>
  <c r="H94" i="34"/>
  <c r="H93" i="34"/>
  <c r="H92" i="34"/>
  <c r="H91" i="34"/>
  <c r="H90" i="34"/>
  <c r="H89" i="34"/>
  <c r="H88" i="34"/>
  <c r="H87" i="34"/>
  <c r="H86" i="34"/>
  <c r="H85" i="34"/>
  <c r="H84" i="34"/>
  <c r="H83" i="34"/>
  <c r="H82" i="34"/>
  <c r="H81" i="34"/>
  <c r="H80" i="34"/>
  <c r="H79" i="34"/>
  <c r="H78" i="34"/>
  <c r="H77" i="34"/>
  <c r="H76" i="34"/>
  <c r="H75" i="34"/>
  <c r="H74" i="34"/>
  <c r="H73" i="34"/>
  <c r="H72" i="34"/>
  <c r="A65" i="34"/>
  <c r="B64" i="34"/>
  <c r="A64" i="34"/>
  <c r="G49" i="34"/>
  <c r="G43" i="34"/>
  <c r="B39" i="34"/>
  <c r="D38" i="34"/>
  <c r="G38" i="34" s="1"/>
  <c r="D37" i="34"/>
  <c r="G37" i="34" s="1"/>
  <c r="D36" i="34"/>
  <c r="G36" i="34" s="1"/>
  <c r="D35" i="34"/>
  <c r="G35" i="34" s="1"/>
  <c r="D34" i="34"/>
  <c r="G34" i="34" s="1"/>
  <c r="D33" i="34"/>
  <c r="G33" i="34" s="1"/>
  <c r="D32" i="34"/>
  <c r="G32" i="34" s="1"/>
  <c r="D31" i="34"/>
  <c r="G31" i="34" s="1"/>
  <c r="D30" i="34"/>
  <c r="G30" i="34" s="1"/>
  <c r="B25" i="34"/>
  <c r="B9" i="34" s="1"/>
  <c r="D24" i="34"/>
  <c r="G24" i="34" s="1"/>
  <c r="D23" i="34"/>
  <c r="G23" i="34" s="1"/>
  <c r="D22" i="34"/>
  <c r="G22" i="34" s="1"/>
  <c r="D21" i="34"/>
  <c r="G21" i="34" s="1"/>
  <c r="D20" i="34"/>
  <c r="G20" i="34" s="1"/>
  <c r="D19" i="34"/>
  <c r="G19" i="34" s="1"/>
  <c r="D18" i="34"/>
  <c r="G18" i="34" s="1"/>
  <c r="E10" i="34"/>
  <c r="C5" i="34"/>
  <c r="H106" i="34" l="1"/>
  <c r="E131" i="34" s="1"/>
  <c r="G39" i="34"/>
  <c r="H117" i="34"/>
  <c r="E132" i="34" s="1"/>
  <c r="D25" i="34"/>
  <c r="B10" i="34" s="1"/>
  <c r="C10" i="34"/>
  <c r="G25" i="34"/>
  <c r="H26" i="34" s="1"/>
  <c r="AI14" i="33"/>
  <c r="AI11" i="33" s="1"/>
  <c r="AI12" i="33"/>
  <c r="H39" i="34"/>
  <c r="D39" i="34"/>
  <c r="B13" i="34" s="1"/>
  <c r="C14" i="34" s="1"/>
  <c r="AC14" i="33"/>
  <c r="AC12" i="33"/>
  <c r="AC11" i="33"/>
  <c r="AB13" i="33"/>
  <c r="AB12" i="33"/>
  <c r="AB11" i="33"/>
  <c r="D5" i="16"/>
  <c r="D4" i="16"/>
  <c r="AC13" i="33" l="1"/>
  <c r="AC15" i="33"/>
  <c r="AB15" i="33"/>
  <c r="AI13" i="33"/>
  <c r="D5" i="22"/>
  <c r="V12" i="33"/>
  <c r="V11" i="33"/>
  <c r="V13" i="33" s="1"/>
  <c r="P12" i="33"/>
  <c r="P11" i="33"/>
  <c r="P13" i="33" s="1"/>
  <c r="D14" i="33"/>
  <c r="D11" i="33" s="1"/>
  <c r="C14" i="33"/>
  <c r="C11" i="33" s="1"/>
  <c r="Z99" i="33"/>
  <c r="Y99" i="33"/>
  <c r="X99" i="33"/>
  <c r="W99" i="33"/>
  <c r="V99" i="33"/>
  <c r="U99" i="33"/>
  <c r="T99" i="33"/>
  <c r="S99" i="33"/>
  <c r="R99" i="33"/>
  <c r="Q99" i="33"/>
  <c r="P99" i="33"/>
  <c r="O99" i="33"/>
  <c r="Z98" i="33"/>
  <c r="Y98" i="33"/>
  <c r="X98" i="33"/>
  <c r="W98" i="33"/>
  <c r="V98" i="33"/>
  <c r="U98" i="33"/>
  <c r="T98" i="33"/>
  <c r="S98" i="33"/>
  <c r="R98" i="33"/>
  <c r="Q98" i="33"/>
  <c r="P98" i="33"/>
  <c r="O98" i="33"/>
  <c r="Z97" i="33"/>
  <c r="Y97" i="33"/>
  <c r="X97" i="33"/>
  <c r="W97" i="33"/>
  <c r="V97" i="33"/>
  <c r="U97" i="33"/>
  <c r="T97" i="33"/>
  <c r="S97" i="33"/>
  <c r="R97" i="33"/>
  <c r="Q97" i="33"/>
  <c r="P97" i="33"/>
  <c r="O97" i="33"/>
  <c r="Z96" i="33"/>
  <c r="Y96" i="33"/>
  <c r="X96" i="33"/>
  <c r="W96" i="33"/>
  <c r="V96" i="33"/>
  <c r="U96" i="33"/>
  <c r="T96" i="33"/>
  <c r="S96" i="33"/>
  <c r="R96" i="33"/>
  <c r="Q96" i="33"/>
  <c r="P96" i="33"/>
  <c r="O96" i="33"/>
  <c r="Z95" i="33"/>
  <c r="Y95" i="33"/>
  <c r="X95" i="33"/>
  <c r="W95" i="33"/>
  <c r="V95" i="33"/>
  <c r="U95" i="33"/>
  <c r="T95" i="33"/>
  <c r="S95" i="33"/>
  <c r="R95" i="33"/>
  <c r="Q95" i="33"/>
  <c r="P95" i="33"/>
  <c r="O95" i="33"/>
  <c r="Z94" i="33"/>
  <c r="Y94" i="33"/>
  <c r="X94" i="33"/>
  <c r="W94" i="33"/>
  <c r="V94" i="33"/>
  <c r="U94" i="33"/>
  <c r="T94" i="33"/>
  <c r="S94" i="33"/>
  <c r="R94" i="33"/>
  <c r="Q94" i="33"/>
  <c r="P94" i="33"/>
  <c r="O94" i="33"/>
  <c r="Z93" i="33"/>
  <c r="Y93" i="33"/>
  <c r="X93" i="33"/>
  <c r="W93" i="33"/>
  <c r="V93" i="33"/>
  <c r="U93" i="33"/>
  <c r="T93" i="33"/>
  <c r="S93" i="33"/>
  <c r="R93" i="33"/>
  <c r="Q93" i="33"/>
  <c r="P93" i="33"/>
  <c r="O93" i="33"/>
  <c r="Z92" i="33"/>
  <c r="Y92" i="33"/>
  <c r="X92" i="33"/>
  <c r="W92" i="33"/>
  <c r="V92" i="33"/>
  <c r="U92" i="33"/>
  <c r="T92" i="33"/>
  <c r="S92" i="33"/>
  <c r="R92" i="33"/>
  <c r="Q92" i="33"/>
  <c r="P92" i="33"/>
  <c r="O92" i="33"/>
  <c r="Z91" i="33"/>
  <c r="Y91" i="33"/>
  <c r="X91" i="33"/>
  <c r="W91" i="33"/>
  <c r="V91" i="33"/>
  <c r="U91" i="33"/>
  <c r="T91" i="33"/>
  <c r="S91" i="33"/>
  <c r="R91" i="33"/>
  <c r="Q91" i="33"/>
  <c r="P91" i="33"/>
  <c r="O91" i="33"/>
  <c r="Z90" i="33"/>
  <c r="Y90" i="33"/>
  <c r="X90" i="33"/>
  <c r="W90" i="33"/>
  <c r="V90" i="33"/>
  <c r="U90" i="33"/>
  <c r="T90" i="33"/>
  <c r="S90" i="33"/>
  <c r="R90" i="33"/>
  <c r="Q90" i="33"/>
  <c r="P90" i="33"/>
  <c r="O90" i="33"/>
  <c r="Z89" i="33"/>
  <c r="Y89" i="33"/>
  <c r="X89" i="33"/>
  <c r="W89" i="33"/>
  <c r="V89" i="33"/>
  <c r="U89" i="33"/>
  <c r="T89" i="33"/>
  <c r="S89" i="33"/>
  <c r="R89" i="33"/>
  <c r="Q89" i="33"/>
  <c r="P89" i="33"/>
  <c r="O89" i="33"/>
  <c r="Z88" i="33"/>
  <c r="Y88" i="33"/>
  <c r="X88" i="33"/>
  <c r="W88" i="33"/>
  <c r="V88" i="33"/>
  <c r="U88" i="33"/>
  <c r="T88" i="33"/>
  <c r="S88" i="33"/>
  <c r="R88" i="33"/>
  <c r="Q88" i="33"/>
  <c r="P88" i="33"/>
  <c r="O88" i="33"/>
  <c r="Z87" i="33"/>
  <c r="Y87" i="33"/>
  <c r="X87" i="33"/>
  <c r="W87" i="33"/>
  <c r="V87" i="33"/>
  <c r="U87" i="33"/>
  <c r="T87" i="33"/>
  <c r="S87" i="33"/>
  <c r="R87" i="33"/>
  <c r="Q87" i="33"/>
  <c r="P87" i="33"/>
  <c r="O87" i="33"/>
  <c r="Z86" i="33"/>
  <c r="Y86" i="33"/>
  <c r="X86" i="33"/>
  <c r="W86" i="33"/>
  <c r="V86" i="33"/>
  <c r="U86" i="33"/>
  <c r="T86" i="33"/>
  <c r="S86" i="33"/>
  <c r="R86" i="33"/>
  <c r="Q86" i="33"/>
  <c r="P86" i="33"/>
  <c r="O86" i="33"/>
  <c r="Z85" i="33"/>
  <c r="Y85" i="33"/>
  <c r="X85" i="33"/>
  <c r="W85" i="33"/>
  <c r="V85" i="33"/>
  <c r="U85" i="33"/>
  <c r="T85" i="33"/>
  <c r="S85" i="33"/>
  <c r="R85" i="33"/>
  <c r="Q85" i="33"/>
  <c r="P85" i="33"/>
  <c r="O85" i="33"/>
  <c r="Z84" i="33"/>
  <c r="Y84" i="33"/>
  <c r="X84" i="33"/>
  <c r="W84" i="33"/>
  <c r="V84" i="33"/>
  <c r="U84" i="33"/>
  <c r="T84" i="33"/>
  <c r="S84" i="33"/>
  <c r="R84" i="33"/>
  <c r="Q84" i="33"/>
  <c r="P84" i="33"/>
  <c r="O84" i="33"/>
  <c r="Z83" i="33"/>
  <c r="Y83" i="33"/>
  <c r="X83" i="33"/>
  <c r="W83" i="33"/>
  <c r="V83" i="33"/>
  <c r="U83" i="33"/>
  <c r="T83" i="33"/>
  <c r="S83" i="33"/>
  <c r="R83" i="33"/>
  <c r="Q83" i="33"/>
  <c r="P83" i="33"/>
  <c r="O83" i="33"/>
  <c r="Z82" i="33"/>
  <c r="Y82" i="33"/>
  <c r="X82" i="33"/>
  <c r="W82" i="33"/>
  <c r="V82" i="33"/>
  <c r="U82" i="33"/>
  <c r="T82" i="33"/>
  <c r="S82" i="33"/>
  <c r="R82" i="33"/>
  <c r="Q82" i="33"/>
  <c r="P82" i="33"/>
  <c r="O82" i="33"/>
  <c r="Z81" i="33"/>
  <c r="Y81" i="33"/>
  <c r="X81" i="33"/>
  <c r="W81" i="33"/>
  <c r="V81" i="33"/>
  <c r="U81" i="33"/>
  <c r="T81" i="33"/>
  <c r="S81" i="33"/>
  <c r="R81" i="33"/>
  <c r="Q81" i="33"/>
  <c r="P81" i="33"/>
  <c r="O81" i="33"/>
  <c r="Z80" i="33"/>
  <c r="Y80" i="33"/>
  <c r="X80" i="33"/>
  <c r="W80" i="33"/>
  <c r="V80" i="33"/>
  <c r="U80" i="33"/>
  <c r="T80" i="33"/>
  <c r="S80" i="33"/>
  <c r="R80" i="33"/>
  <c r="Q80" i="33"/>
  <c r="P80" i="33"/>
  <c r="O80" i="33"/>
  <c r="Z79" i="33"/>
  <c r="Y79" i="33"/>
  <c r="X79" i="33"/>
  <c r="W79" i="33"/>
  <c r="V79" i="33"/>
  <c r="U79" i="33"/>
  <c r="T79" i="33"/>
  <c r="S79" i="33"/>
  <c r="R79" i="33"/>
  <c r="Q79" i="33"/>
  <c r="P79" i="33"/>
  <c r="O79" i="33"/>
  <c r="Z78" i="33"/>
  <c r="Y78" i="33"/>
  <c r="X78" i="33"/>
  <c r="W78" i="33"/>
  <c r="V78" i="33"/>
  <c r="U78" i="33"/>
  <c r="T78" i="33"/>
  <c r="S78" i="33"/>
  <c r="R78" i="33"/>
  <c r="Q78" i="33"/>
  <c r="P78" i="33"/>
  <c r="O78" i="33"/>
  <c r="Z77" i="33"/>
  <c r="Y77" i="33"/>
  <c r="X77" i="33"/>
  <c r="W77" i="33"/>
  <c r="V77" i="33"/>
  <c r="U77" i="33"/>
  <c r="T77" i="33"/>
  <c r="S77" i="33"/>
  <c r="R77" i="33"/>
  <c r="Q77" i="33"/>
  <c r="P77" i="33"/>
  <c r="O77" i="33"/>
  <c r="Z76" i="33"/>
  <c r="Y76" i="33"/>
  <c r="X76" i="33"/>
  <c r="W76" i="33"/>
  <c r="V76" i="33"/>
  <c r="U76" i="33"/>
  <c r="T76" i="33"/>
  <c r="S76" i="33"/>
  <c r="R76" i="33"/>
  <c r="Q76" i="33"/>
  <c r="P76" i="33"/>
  <c r="O76" i="33"/>
  <c r="Z75" i="33"/>
  <c r="Y75" i="33"/>
  <c r="X75" i="33"/>
  <c r="W75" i="33"/>
  <c r="V75" i="33"/>
  <c r="U75" i="33"/>
  <c r="T75" i="33"/>
  <c r="S75" i="33"/>
  <c r="R75" i="33"/>
  <c r="Q75" i="33"/>
  <c r="P75" i="33"/>
  <c r="O75" i="33"/>
  <c r="Z74" i="33"/>
  <c r="Y74" i="33"/>
  <c r="X74" i="33"/>
  <c r="W74" i="33"/>
  <c r="V74" i="33"/>
  <c r="U74" i="33"/>
  <c r="T74" i="33"/>
  <c r="S74" i="33"/>
  <c r="R74" i="33"/>
  <c r="Q74" i="33"/>
  <c r="P74" i="33"/>
  <c r="O74" i="33"/>
  <c r="Z73" i="33"/>
  <c r="Y73" i="33"/>
  <c r="X73" i="33"/>
  <c r="W73" i="33"/>
  <c r="V73" i="33"/>
  <c r="U73" i="33"/>
  <c r="T73" i="33"/>
  <c r="S73" i="33"/>
  <c r="R73" i="33"/>
  <c r="Q73" i="33"/>
  <c r="P73" i="33"/>
  <c r="O73" i="33"/>
  <c r="Z72" i="33"/>
  <c r="Y72" i="33"/>
  <c r="X72" i="33"/>
  <c r="W72" i="33"/>
  <c r="V72" i="33"/>
  <c r="U72" i="33"/>
  <c r="T72" i="33"/>
  <c r="S72" i="33"/>
  <c r="R72" i="33"/>
  <c r="Q72" i="33"/>
  <c r="P72" i="33"/>
  <c r="O72" i="33"/>
  <c r="Z71" i="33"/>
  <c r="Y71" i="33"/>
  <c r="X71" i="33"/>
  <c r="W71" i="33"/>
  <c r="V71" i="33"/>
  <c r="U71" i="33"/>
  <c r="T71" i="33"/>
  <c r="S71" i="33"/>
  <c r="R71" i="33"/>
  <c r="Q71" i="33"/>
  <c r="P71" i="33"/>
  <c r="O71" i="33"/>
  <c r="Z70" i="33"/>
  <c r="Y70" i="33"/>
  <c r="X70" i="33"/>
  <c r="W70" i="33"/>
  <c r="V70" i="33"/>
  <c r="U70" i="33"/>
  <c r="T70" i="33"/>
  <c r="S70" i="33"/>
  <c r="R70" i="33"/>
  <c r="Q70" i="33"/>
  <c r="P70" i="33"/>
  <c r="O70" i="33"/>
  <c r="Z69" i="33"/>
  <c r="Y69" i="33"/>
  <c r="X69" i="33"/>
  <c r="W69" i="33"/>
  <c r="V69" i="33"/>
  <c r="U69" i="33"/>
  <c r="T69" i="33"/>
  <c r="S69" i="33"/>
  <c r="R69" i="33"/>
  <c r="Q69" i="33"/>
  <c r="P69" i="33"/>
  <c r="O69" i="33"/>
  <c r="Z68" i="33"/>
  <c r="Y68" i="33"/>
  <c r="X68" i="33"/>
  <c r="W68" i="33"/>
  <c r="V68" i="33"/>
  <c r="U68" i="33"/>
  <c r="T68" i="33"/>
  <c r="S68" i="33"/>
  <c r="R68" i="33"/>
  <c r="Q68" i="33"/>
  <c r="P68" i="33"/>
  <c r="O68" i="33"/>
  <c r="Z67" i="33"/>
  <c r="Y67" i="33"/>
  <c r="X67" i="33"/>
  <c r="W67" i="33"/>
  <c r="V67" i="33"/>
  <c r="U67" i="33"/>
  <c r="T67" i="33"/>
  <c r="S67" i="33"/>
  <c r="R67" i="33"/>
  <c r="Q67" i="33"/>
  <c r="P67" i="33"/>
  <c r="O67" i="33"/>
  <c r="Z66" i="33"/>
  <c r="Y66" i="33"/>
  <c r="X66" i="33"/>
  <c r="W66" i="33"/>
  <c r="V66" i="33"/>
  <c r="U66" i="33"/>
  <c r="T66" i="33"/>
  <c r="S66" i="33"/>
  <c r="R66" i="33"/>
  <c r="Q66" i="33"/>
  <c r="P66" i="33"/>
  <c r="O66" i="33"/>
  <c r="Z65" i="33"/>
  <c r="Y65" i="33"/>
  <c r="X65" i="33"/>
  <c r="W65" i="33"/>
  <c r="V65" i="33"/>
  <c r="U65" i="33"/>
  <c r="T65" i="33"/>
  <c r="S65" i="33"/>
  <c r="R65" i="33"/>
  <c r="Q65" i="33"/>
  <c r="P65" i="33"/>
  <c r="O65" i="33"/>
  <c r="Z64" i="33"/>
  <c r="Y64" i="33"/>
  <c r="X64" i="33"/>
  <c r="W64" i="33"/>
  <c r="V64" i="33"/>
  <c r="U64" i="33"/>
  <c r="T64" i="33"/>
  <c r="S64" i="33"/>
  <c r="R64" i="33"/>
  <c r="Q64" i="33"/>
  <c r="P64" i="33"/>
  <c r="O64" i="33"/>
  <c r="Z63" i="33"/>
  <c r="Y63" i="33"/>
  <c r="X63" i="33"/>
  <c r="W63" i="33"/>
  <c r="V63" i="33"/>
  <c r="U63" i="33"/>
  <c r="T63" i="33"/>
  <c r="S63" i="33"/>
  <c r="R63" i="33"/>
  <c r="Q63" i="33"/>
  <c r="P63" i="33"/>
  <c r="O63" i="33"/>
  <c r="Z62" i="33"/>
  <c r="Y62" i="33"/>
  <c r="X62" i="33"/>
  <c r="W62" i="33"/>
  <c r="V62" i="33"/>
  <c r="U62" i="33"/>
  <c r="T62" i="33"/>
  <c r="S62" i="33"/>
  <c r="R62" i="33"/>
  <c r="Q62" i="33"/>
  <c r="P62" i="33"/>
  <c r="O62" i="33"/>
  <c r="Z61" i="33"/>
  <c r="Y61" i="33"/>
  <c r="X61" i="33"/>
  <c r="W61" i="33"/>
  <c r="V61" i="33"/>
  <c r="U61" i="33"/>
  <c r="T61" i="33"/>
  <c r="S61" i="33"/>
  <c r="R61" i="33"/>
  <c r="Q61" i="33"/>
  <c r="P61" i="33"/>
  <c r="O61" i="33"/>
  <c r="Z60" i="33"/>
  <c r="Y60" i="33"/>
  <c r="X60" i="33"/>
  <c r="W60" i="33"/>
  <c r="V60" i="33"/>
  <c r="U60" i="33"/>
  <c r="T60" i="33"/>
  <c r="S60" i="33"/>
  <c r="R60" i="33"/>
  <c r="Q60" i="33"/>
  <c r="P60" i="33"/>
  <c r="O60" i="33"/>
  <c r="Z59" i="33"/>
  <c r="Y59" i="33"/>
  <c r="X59" i="33"/>
  <c r="W59" i="33"/>
  <c r="V59" i="33"/>
  <c r="U59" i="33"/>
  <c r="T59" i="33"/>
  <c r="S59" i="33"/>
  <c r="R59" i="33"/>
  <c r="Q59" i="33"/>
  <c r="P59" i="33"/>
  <c r="O59" i="33"/>
  <c r="Z58" i="33"/>
  <c r="Y58" i="33"/>
  <c r="X58" i="33"/>
  <c r="W58" i="33"/>
  <c r="V58" i="33"/>
  <c r="U58" i="33"/>
  <c r="T58" i="33"/>
  <c r="S58" i="33"/>
  <c r="R58" i="33"/>
  <c r="Q58" i="33"/>
  <c r="P58" i="33"/>
  <c r="O58" i="33"/>
  <c r="Z57" i="33"/>
  <c r="Y57" i="33"/>
  <c r="X57" i="33"/>
  <c r="W57" i="33"/>
  <c r="V57" i="33"/>
  <c r="U57" i="33"/>
  <c r="T57" i="33"/>
  <c r="S57" i="33"/>
  <c r="R57" i="33"/>
  <c r="Q57" i="33"/>
  <c r="P57" i="33"/>
  <c r="O57" i="33"/>
  <c r="Z56" i="33"/>
  <c r="Y56" i="33"/>
  <c r="X56" i="33"/>
  <c r="W56" i="33"/>
  <c r="V56" i="33"/>
  <c r="U56" i="33"/>
  <c r="T56" i="33"/>
  <c r="S56" i="33"/>
  <c r="R56" i="33"/>
  <c r="Q56" i="33"/>
  <c r="P56" i="33"/>
  <c r="O56" i="33"/>
  <c r="Z55" i="33"/>
  <c r="Y55" i="33"/>
  <c r="X55" i="33"/>
  <c r="W55" i="33"/>
  <c r="V55" i="33"/>
  <c r="U55" i="33"/>
  <c r="T55" i="33"/>
  <c r="S55" i="33"/>
  <c r="R55" i="33"/>
  <c r="Q55" i="33"/>
  <c r="P55" i="33"/>
  <c r="O55" i="33"/>
  <c r="Z54" i="33"/>
  <c r="Y54" i="33"/>
  <c r="X54" i="33"/>
  <c r="W54" i="33"/>
  <c r="V54" i="33"/>
  <c r="U54" i="33"/>
  <c r="T54" i="33"/>
  <c r="S54" i="33"/>
  <c r="R54" i="33"/>
  <c r="Q54" i="33"/>
  <c r="P54" i="33"/>
  <c r="O54" i="33"/>
  <c r="Z53" i="33"/>
  <c r="Y53" i="33"/>
  <c r="X53" i="33"/>
  <c r="W53" i="33"/>
  <c r="V53" i="33"/>
  <c r="U53" i="33"/>
  <c r="T53" i="33"/>
  <c r="S53" i="33"/>
  <c r="R53" i="33"/>
  <c r="Q53" i="33"/>
  <c r="P53" i="33"/>
  <c r="O53" i="33"/>
  <c r="Z52" i="33"/>
  <c r="Y52" i="33"/>
  <c r="X52" i="33"/>
  <c r="W52" i="33"/>
  <c r="V52" i="33"/>
  <c r="U52" i="33"/>
  <c r="T52" i="33"/>
  <c r="S52" i="33"/>
  <c r="R52" i="33"/>
  <c r="Q52" i="33"/>
  <c r="P52" i="33"/>
  <c r="O52" i="33"/>
  <c r="Z51" i="33"/>
  <c r="Y51" i="33"/>
  <c r="X51" i="33"/>
  <c r="W51" i="33"/>
  <c r="V51" i="33"/>
  <c r="U51" i="33"/>
  <c r="T51" i="33"/>
  <c r="S51" i="33"/>
  <c r="R51" i="33"/>
  <c r="Q51" i="33"/>
  <c r="P51" i="33"/>
  <c r="O51" i="33"/>
  <c r="Z50" i="33"/>
  <c r="Y50" i="33"/>
  <c r="X50" i="33"/>
  <c r="W50" i="33"/>
  <c r="V50" i="33"/>
  <c r="U50" i="33"/>
  <c r="T50" i="33"/>
  <c r="S50" i="33"/>
  <c r="R50" i="33"/>
  <c r="Q50" i="33"/>
  <c r="P50" i="33"/>
  <c r="O50" i="33"/>
  <c r="Z49" i="33"/>
  <c r="Y49" i="33"/>
  <c r="X49" i="33"/>
  <c r="W49" i="33"/>
  <c r="V49" i="33"/>
  <c r="U49" i="33"/>
  <c r="T49" i="33"/>
  <c r="S49" i="33"/>
  <c r="R49" i="33"/>
  <c r="Q49" i="33"/>
  <c r="P49" i="33"/>
  <c r="O49" i="33"/>
  <c r="Z48" i="33"/>
  <c r="Y48" i="33"/>
  <c r="X48" i="33"/>
  <c r="W48" i="33"/>
  <c r="V48" i="33"/>
  <c r="U48" i="33"/>
  <c r="T48" i="33"/>
  <c r="S48" i="33"/>
  <c r="R48" i="33"/>
  <c r="Q48" i="33"/>
  <c r="P48" i="33"/>
  <c r="O48" i="33"/>
  <c r="Z47" i="33"/>
  <c r="Y47" i="33"/>
  <c r="X47" i="33"/>
  <c r="W47" i="33"/>
  <c r="V47" i="33"/>
  <c r="U47" i="33"/>
  <c r="T47" i="33"/>
  <c r="S47" i="33"/>
  <c r="R47" i="33"/>
  <c r="Q47" i="33"/>
  <c r="P47" i="33"/>
  <c r="O47" i="33"/>
  <c r="Z46" i="33"/>
  <c r="Y46" i="33"/>
  <c r="X46" i="33"/>
  <c r="W46" i="33"/>
  <c r="V46" i="33"/>
  <c r="U46" i="33"/>
  <c r="T46" i="33"/>
  <c r="S46" i="33"/>
  <c r="R46" i="33"/>
  <c r="Q46" i="33"/>
  <c r="P46" i="33"/>
  <c r="O46" i="33"/>
  <c r="Z45" i="33"/>
  <c r="Y45" i="33"/>
  <c r="X45" i="33"/>
  <c r="W45" i="33"/>
  <c r="V45" i="33"/>
  <c r="U45" i="33"/>
  <c r="T45" i="33"/>
  <c r="S45" i="33"/>
  <c r="R45" i="33"/>
  <c r="Q45" i="33"/>
  <c r="P45" i="33"/>
  <c r="O45" i="33"/>
  <c r="Z44" i="33"/>
  <c r="Y44" i="33"/>
  <c r="X44" i="33"/>
  <c r="W44" i="33"/>
  <c r="V44" i="33"/>
  <c r="U44" i="33"/>
  <c r="T44" i="33"/>
  <c r="S44" i="33"/>
  <c r="R44" i="33"/>
  <c r="Q44" i="33"/>
  <c r="P44" i="33"/>
  <c r="O44" i="33"/>
  <c r="Z43" i="33"/>
  <c r="Y43" i="33"/>
  <c r="X43" i="33"/>
  <c r="W43" i="33"/>
  <c r="V43" i="33"/>
  <c r="U43" i="33"/>
  <c r="T43" i="33"/>
  <c r="S43" i="33"/>
  <c r="R43" i="33"/>
  <c r="Q43" i="33"/>
  <c r="P43" i="33"/>
  <c r="O43" i="33"/>
  <c r="Z42" i="33"/>
  <c r="Y42" i="33"/>
  <c r="X42" i="33"/>
  <c r="W42" i="33"/>
  <c r="V42" i="33"/>
  <c r="U42" i="33"/>
  <c r="T42" i="33"/>
  <c r="S42" i="33"/>
  <c r="R42" i="33"/>
  <c r="Q42" i="33"/>
  <c r="P42" i="33"/>
  <c r="O42" i="33"/>
  <c r="Z41" i="33"/>
  <c r="Y41" i="33"/>
  <c r="X41" i="33"/>
  <c r="W41" i="33"/>
  <c r="V41" i="33"/>
  <c r="U41" i="33"/>
  <c r="T41" i="33"/>
  <c r="S41" i="33"/>
  <c r="R41" i="33"/>
  <c r="Q41" i="33"/>
  <c r="P41" i="33"/>
  <c r="O41" i="33"/>
  <c r="Z40" i="33"/>
  <c r="Y40" i="33"/>
  <c r="X40" i="33"/>
  <c r="W40" i="33"/>
  <c r="V40" i="33"/>
  <c r="U40" i="33"/>
  <c r="T40" i="33"/>
  <c r="S40" i="33"/>
  <c r="R40" i="33"/>
  <c r="Q40" i="33"/>
  <c r="P40" i="33"/>
  <c r="O40" i="33"/>
  <c r="Z39" i="33"/>
  <c r="Y39" i="33"/>
  <c r="X39" i="33"/>
  <c r="W39" i="33"/>
  <c r="V39" i="33"/>
  <c r="U39" i="33"/>
  <c r="T39" i="33"/>
  <c r="S39" i="33"/>
  <c r="R39" i="33"/>
  <c r="Q39" i="33"/>
  <c r="P39" i="33"/>
  <c r="O39" i="33"/>
  <c r="Z38" i="33"/>
  <c r="Y38" i="33"/>
  <c r="X38" i="33"/>
  <c r="W38" i="33"/>
  <c r="V38" i="33"/>
  <c r="U38" i="33"/>
  <c r="T38" i="33"/>
  <c r="S38" i="33"/>
  <c r="R38" i="33"/>
  <c r="Q38" i="33"/>
  <c r="P38" i="33"/>
  <c r="O38" i="33"/>
  <c r="Z37" i="33"/>
  <c r="Y37" i="33"/>
  <c r="X37" i="33"/>
  <c r="W37" i="33"/>
  <c r="V37" i="33"/>
  <c r="U37" i="33"/>
  <c r="T37" i="33"/>
  <c r="S37" i="33"/>
  <c r="R37" i="33"/>
  <c r="Q37" i="33"/>
  <c r="P37" i="33"/>
  <c r="O37" i="33"/>
  <c r="Z36" i="33"/>
  <c r="Y36" i="33"/>
  <c r="X36" i="33"/>
  <c r="W36" i="33"/>
  <c r="V36" i="33"/>
  <c r="U36" i="33"/>
  <c r="T36" i="33"/>
  <c r="S36" i="33"/>
  <c r="R36" i="33"/>
  <c r="Q36" i="33"/>
  <c r="P36" i="33"/>
  <c r="O36" i="33"/>
  <c r="Z35" i="33"/>
  <c r="Y35" i="33"/>
  <c r="X35" i="33"/>
  <c r="W35" i="33"/>
  <c r="V35" i="33"/>
  <c r="U35" i="33"/>
  <c r="T35" i="33"/>
  <c r="S35" i="33"/>
  <c r="R35" i="33"/>
  <c r="Q35" i="33"/>
  <c r="P35" i="33"/>
  <c r="O35" i="33"/>
  <c r="Z34" i="33"/>
  <c r="Y34" i="33"/>
  <c r="X34" i="33"/>
  <c r="W34" i="33"/>
  <c r="V34" i="33"/>
  <c r="U34" i="33"/>
  <c r="T34" i="33"/>
  <c r="S34" i="33"/>
  <c r="R34" i="33"/>
  <c r="Q34" i="33"/>
  <c r="P34" i="33"/>
  <c r="O34" i="33"/>
  <c r="Z33" i="33"/>
  <c r="Y33" i="33"/>
  <c r="X33" i="33"/>
  <c r="W33" i="33"/>
  <c r="V33" i="33"/>
  <c r="U33" i="33"/>
  <c r="T33" i="33"/>
  <c r="S33" i="33"/>
  <c r="R33" i="33"/>
  <c r="Q33" i="33"/>
  <c r="P33" i="33"/>
  <c r="O33" i="33"/>
  <c r="Z32" i="33"/>
  <c r="Y32" i="33"/>
  <c r="X32" i="33"/>
  <c r="W32" i="33"/>
  <c r="V32" i="33"/>
  <c r="U32" i="33"/>
  <c r="T32" i="33"/>
  <c r="S32" i="33"/>
  <c r="R32" i="33"/>
  <c r="Q32" i="33"/>
  <c r="P32" i="33"/>
  <c r="O32" i="33"/>
  <c r="Z31" i="33"/>
  <c r="Y31" i="33"/>
  <c r="X31" i="33"/>
  <c r="W31" i="33"/>
  <c r="V31" i="33"/>
  <c r="U31" i="33"/>
  <c r="T31" i="33"/>
  <c r="S31" i="33"/>
  <c r="R31" i="33"/>
  <c r="Q31" i="33"/>
  <c r="P31" i="33"/>
  <c r="O31" i="33"/>
  <c r="Z30" i="33"/>
  <c r="Y30" i="33"/>
  <c r="X30" i="33"/>
  <c r="W30" i="33"/>
  <c r="V30" i="33"/>
  <c r="U30" i="33"/>
  <c r="T30" i="33"/>
  <c r="S30" i="33"/>
  <c r="R30" i="33"/>
  <c r="Q30" i="33"/>
  <c r="P30" i="33"/>
  <c r="O30" i="33"/>
  <c r="Z29" i="33"/>
  <c r="Y29" i="33"/>
  <c r="X29" i="33"/>
  <c r="W29" i="33"/>
  <c r="V29" i="33"/>
  <c r="U29" i="33"/>
  <c r="T29" i="33"/>
  <c r="S29" i="33"/>
  <c r="R29" i="33"/>
  <c r="Q29" i="33"/>
  <c r="P29" i="33"/>
  <c r="O29" i="33"/>
  <c r="Z28" i="33"/>
  <c r="Y28" i="33"/>
  <c r="X28" i="33"/>
  <c r="W28" i="33"/>
  <c r="V28" i="33"/>
  <c r="U28" i="33"/>
  <c r="T28" i="33"/>
  <c r="S28" i="33"/>
  <c r="R28" i="33"/>
  <c r="Q28" i="33"/>
  <c r="P28" i="33"/>
  <c r="O28" i="33"/>
  <c r="Z27" i="33"/>
  <c r="Y27" i="33"/>
  <c r="X27" i="33"/>
  <c r="W27" i="33"/>
  <c r="V27" i="33"/>
  <c r="U27" i="33"/>
  <c r="T27" i="33"/>
  <c r="S27" i="33"/>
  <c r="R27" i="33"/>
  <c r="Q27" i="33"/>
  <c r="P27" i="33"/>
  <c r="O27" i="33"/>
  <c r="Z26" i="33"/>
  <c r="Y26" i="33"/>
  <c r="X26" i="33"/>
  <c r="W26" i="33"/>
  <c r="V26" i="33"/>
  <c r="U26" i="33"/>
  <c r="T26" i="33"/>
  <c r="S26" i="33"/>
  <c r="R26" i="33"/>
  <c r="Q26" i="33"/>
  <c r="P26" i="33"/>
  <c r="O26" i="33"/>
  <c r="Z25" i="33"/>
  <c r="Y25" i="33"/>
  <c r="X25" i="33"/>
  <c r="W25" i="33"/>
  <c r="V25" i="33"/>
  <c r="U25" i="33"/>
  <c r="T25" i="33"/>
  <c r="S25" i="33"/>
  <c r="R25" i="33"/>
  <c r="Q25" i="33"/>
  <c r="P25" i="33"/>
  <c r="O25" i="33"/>
  <c r="Z24" i="33"/>
  <c r="Y24" i="33"/>
  <c r="X24" i="33"/>
  <c r="W24" i="33"/>
  <c r="V24" i="33"/>
  <c r="U24" i="33"/>
  <c r="T24" i="33"/>
  <c r="S24" i="33"/>
  <c r="R24" i="33"/>
  <c r="Q24" i="33"/>
  <c r="P24" i="33"/>
  <c r="O24" i="33"/>
  <c r="Z23" i="33"/>
  <c r="Y23" i="33"/>
  <c r="X23" i="33"/>
  <c r="W23" i="33"/>
  <c r="V23" i="33"/>
  <c r="U23" i="33"/>
  <c r="T23" i="33"/>
  <c r="S23" i="33"/>
  <c r="R23" i="33"/>
  <c r="Q23" i="33"/>
  <c r="P23" i="33"/>
  <c r="O23" i="33"/>
  <c r="Z22" i="33"/>
  <c r="Y22" i="33"/>
  <c r="X22" i="33"/>
  <c r="W22" i="33"/>
  <c r="V22" i="33"/>
  <c r="U22" i="33"/>
  <c r="T22" i="33"/>
  <c r="S22" i="33"/>
  <c r="R22" i="33"/>
  <c r="Q22" i="33"/>
  <c r="P22" i="33"/>
  <c r="O22" i="33"/>
  <c r="Z21" i="33"/>
  <c r="Y21" i="33"/>
  <c r="X21" i="33"/>
  <c r="W21" i="33"/>
  <c r="V21" i="33"/>
  <c r="U21" i="33"/>
  <c r="T21" i="33"/>
  <c r="S21" i="33"/>
  <c r="R21" i="33"/>
  <c r="Q21" i="33"/>
  <c r="P21" i="33"/>
  <c r="O21" i="33"/>
  <c r="Z20" i="33"/>
  <c r="Y20" i="33"/>
  <c r="X20" i="33"/>
  <c r="W20" i="33"/>
  <c r="V20" i="33"/>
  <c r="U20" i="33"/>
  <c r="T20" i="33"/>
  <c r="S20" i="33"/>
  <c r="R20" i="33"/>
  <c r="Q20" i="33"/>
  <c r="P20" i="33"/>
  <c r="O20" i="33"/>
  <c r="Z19" i="33"/>
  <c r="Y19" i="33"/>
  <c r="X19" i="33"/>
  <c r="W19" i="33"/>
  <c r="V19" i="33"/>
  <c r="U19" i="33"/>
  <c r="T19" i="33"/>
  <c r="S19" i="33"/>
  <c r="R19" i="33"/>
  <c r="Q19" i="33"/>
  <c r="P19" i="33"/>
  <c r="O19" i="33"/>
  <c r="F7" i="33"/>
  <c r="C7" i="33"/>
  <c r="E5" i="33"/>
  <c r="E3" i="33" s="1"/>
  <c r="F3" i="33"/>
  <c r="C3" i="33"/>
  <c r="B3" i="33"/>
  <c r="F2" i="33"/>
  <c r="C2" i="33"/>
  <c r="C4" i="33" s="1"/>
  <c r="B2" i="33"/>
  <c r="H5" i="25"/>
  <c r="H5" i="32" s="1"/>
  <c r="H4" i="25"/>
  <c r="H4" i="32" s="1"/>
  <c r="B6" i="25"/>
  <c r="B6" i="32" s="1"/>
  <c r="B4" i="25"/>
  <c r="B4" i="32" s="1"/>
  <c r="B3" i="25"/>
  <c r="B3" i="32" s="1"/>
  <c r="H5" i="4"/>
  <c r="H4" i="4"/>
  <c r="B6" i="4"/>
  <c r="B4" i="4"/>
  <c r="B3" i="4"/>
  <c r="C21" i="32"/>
  <c r="H1" i="32"/>
  <c r="A4" i="24"/>
  <c r="A5" i="24"/>
  <c r="A3" i="24"/>
  <c r="E23" i="25"/>
  <c r="C23" i="25"/>
  <c r="B23" i="25"/>
  <c r="D23" i="25" s="1"/>
  <c r="A23" i="25"/>
  <c r="E177" i="25"/>
  <c r="E162" i="25"/>
  <c r="E155" i="25"/>
  <c r="G110" i="25"/>
  <c r="F110" i="25"/>
  <c r="E110" i="25"/>
  <c r="B110" i="25"/>
  <c r="A110" i="25"/>
  <c r="E20" i="25"/>
  <c r="C20" i="25"/>
  <c r="B20" i="25"/>
  <c r="D20" i="25" s="1"/>
  <c r="A20" i="25"/>
  <c r="C5" i="2"/>
  <c r="B5" i="25" s="1"/>
  <c r="B5" i="32" s="1"/>
  <c r="AD15" i="33" l="1"/>
  <c r="Q14" i="33"/>
  <c r="I14" i="33"/>
  <c r="J14" i="33"/>
  <c r="J12" i="33" s="1"/>
  <c r="P15" i="33"/>
  <c r="V15" i="33"/>
  <c r="E2" i="33"/>
  <c r="E4" i="33" s="1"/>
  <c r="F4" i="33"/>
  <c r="AE15" i="33"/>
  <c r="D37" i="20" s="1"/>
  <c r="B4" i="33"/>
  <c r="E52" i="33" s="1"/>
  <c r="F52" i="33" s="1"/>
  <c r="G52" i="33" s="1"/>
  <c r="H52" i="33" s="1"/>
  <c r="I52" i="33" s="1"/>
  <c r="J52" i="33" s="1"/>
  <c r="K52" i="33" s="1"/>
  <c r="L52" i="33" s="1"/>
  <c r="M52" i="33" s="1"/>
  <c r="B53" i="33" s="1"/>
  <c r="C53" i="33" s="1"/>
  <c r="D53" i="33" s="1"/>
  <c r="E53" i="33" s="1"/>
  <c r="F53" i="33" s="1"/>
  <c r="G53" i="33" s="1"/>
  <c r="H53" i="33" s="1"/>
  <c r="I53" i="33" s="1"/>
  <c r="J53" i="33" s="1"/>
  <c r="K53" i="33" s="1"/>
  <c r="L53" i="33" s="1"/>
  <c r="M53" i="33" s="1"/>
  <c r="B54" i="33" s="1"/>
  <c r="C54" i="33" s="1"/>
  <c r="D54" i="33" s="1"/>
  <c r="E54" i="33" s="1"/>
  <c r="F54" i="33" s="1"/>
  <c r="G54" i="33" s="1"/>
  <c r="H54" i="33" s="1"/>
  <c r="I54" i="33" s="1"/>
  <c r="J54" i="33" s="1"/>
  <c r="K54" i="33" s="1"/>
  <c r="L54" i="33" s="1"/>
  <c r="M54" i="33" s="1"/>
  <c r="B55" i="33" s="1"/>
  <c r="C55" i="33" s="1"/>
  <c r="D55" i="33" s="1"/>
  <c r="E55" i="33" s="1"/>
  <c r="F55" i="33" s="1"/>
  <c r="G55" i="33" s="1"/>
  <c r="H55" i="33" s="1"/>
  <c r="I55" i="33" s="1"/>
  <c r="J55" i="33" s="1"/>
  <c r="K55" i="33" s="1"/>
  <c r="L55" i="33" s="1"/>
  <c r="M55" i="33" s="1"/>
  <c r="B56" i="33" s="1"/>
  <c r="C56" i="33" s="1"/>
  <c r="D56" i="33" s="1"/>
  <c r="E56" i="33" s="1"/>
  <c r="F56" i="33" s="1"/>
  <c r="G56" i="33" s="1"/>
  <c r="H56" i="33" s="1"/>
  <c r="I56" i="33" s="1"/>
  <c r="J56" i="33" s="1"/>
  <c r="K56" i="33" s="1"/>
  <c r="L56" i="33" s="1"/>
  <c r="M56" i="33" s="1"/>
  <c r="B57" i="33" s="1"/>
  <c r="D27" i="20"/>
  <c r="D15" i="20"/>
  <c r="D25" i="20"/>
  <c r="D9" i="20"/>
  <c r="E17" i="20"/>
  <c r="D47" i="20"/>
  <c r="D12" i="33"/>
  <c r="D13" i="33" s="1"/>
  <c r="W14" i="33"/>
  <c r="G20" i="25"/>
  <c r="C12" i="33"/>
  <c r="C13" i="33" s="1"/>
  <c r="Q11" i="33"/>
  <c r="Q12" i="33"/>
  <c r="I12" i="33"/>
  <c r="G23" i="25"/>
  <c r="J11" i="33"/>
  <c r="J13" i="33" s="1"/>
  <c r="B5" i="4"/>
  <c r="D48" i="28"/>
  <c r="C48" i="28" s="1"/>
  <c r="G8" i="28"/>
  <c r="F8" i="28"/>
  <c r="D7" i="28" s="1"/>
  <c r="C7" i="28" s="1"/>
  <c r="D30" i="20" l="1"/>
  <c r="D35" i="20"/>
  <c r="D12" i="20"/>
  <c r="D41" i="20"/>
  <c r="E18" i="20"/>
  <c r="D51" i="20"/>
  <c r="D34" i="20"/>
  <c r="E16" i="20"/>
  <c r="D21" i="20"/>
  <c r="G10" i="34"/>
  <c r="E30" i="20"/>
  <c r="E37" i="20"/>
  <c r="D4" i="20"/>
  <c r="E50" i="20"/>
  <c r="D18" i="20"/>
  <c r="E24" i="20"/>
  <c r="E34" i="20"/>
  <c r="E13" i="20"/>
  <c r="E19" i="20"/>
  <c r="E52" i="20"/>
  <c r="E51" i="20"/>
  <c r="E47" i="20"/>
  <c r="E41" i="20"/>
  <c r="E27" i="20"/>
  <c r="E35" i="20"/>
  <c r="C57" i="33"/>
  <c r="D57" i="33" s="1"/>
  <c r="E57" i="33" s="1"/>
  <c r="F57" i="33" s="1"/>
  <c r="G57" i="33" s="1"/>
  <c r="H57" i="33" s="1"/>
  <c r="I57" i="33" s="1"/>
  <c r="J57" i="33" s="1"/>
  <c r="K57" i="33" s="1"/>
  <c r="L57" i="33" s="1"/>
  <c r="M57" i="33" s="1"/>
  <c r="B58" i="33" s="1"/>
  <c r="C58" i="33" s="1"/>
  <c r="D58" i="33" s="1"/>
  <c r="E58" i="33" s="1"/>
  <c r="F58" i="33" s="1"/>
  <c r="G58" i="33" s="1"/>
  <c r="H58" i="33" s="1"/>
  <c r="I58" i="33" s="1"/>
  <c r="J58" i="33" s="1"/>
  <c r="K58" i="33" s="1"/>
  <c r="L58" i="33" s="1"/>
  <c r="M58" i="33" s="1"/>
  <c r="B59" i="33" s="1"/>
  <c r="C59" i="33" s="1"/>
  <c r="D59" i="33" s="1"/>
  <c r="E59" i="33" s="1"/>
  <c r="F59" i="33" s="1"/>
  <c r="G59" i="33" s="1"/>
  <c r="H59" i="33" s="1"/>
  <c r="I59" i="33" s="1"/>
  <c r="J59" i="33" s="1"/>
  <c r="K59" i="33" s="1"/>
  <c r="L59" i="33" s="1"/>
  <c r="M59" i="33" s="1"/>
  <c r="B60" i="33" s="1"/>
  <c r="C60" i="33" s="1"/>
  <c r="D60" i="33" s="1"/>
  <c r="E60" i="33" s="1"/>
  <c r="F60" i="33" s="1"/>
  <c r="G60" i="33" s="1"/>
  <c r="H60" i="33" s="1"/>
  <c r="I60" i="33" s="1"/>
  <c r="J60" i="33" s="1"/>
  <c r="K60" i="33" s="1"/>
  <c r="L60" i="33" s="1"/>
  <c r="M60" i="33" s="1"/>
  <c r="B61" i="33" s="1"/>
  <c r="C61" i="33" s="1"/>
  <c r="D61" i="33" s="1"/>
  <c r="E61" i="33" s="1"/>
  <c r="F61" i="33" s="1"/>
  <c r="G61" i="33" s="1"/>
  <c r="H61" i="33" s="1"/>
  <c r="I61" i="33" s="1"/>
  <c r="J61" i="33" s="1"/>
  <c r="K61" i="33" s="1"/>
  <c r="L61" i="33" s="1"/>
  <c r="M61" i="33" s="1"/>
  <c r="B62" i="33" s="1"/>
  <c r="C62" i="33" s="1"/>
  <c r="D62" i="33" s="1"/>
  <c r="E62" i="33" s="1"/>
  <c r="F62" i="33" s="1"/>
  <c r="G62" i="33" s="1"/>
  <c r="H62" i="33" s="1"/>
  <c r="I62" i="33" s="1"/>
  <c r="J62" i="33" s="1"/>
  <c r="K62" i="33" s="1"/>
  <c r="L62" i="33" s="1"/>
  <c r="M62" i="33" s="1"/>
  <c r="B63" i="33" s="1"/>
  <c r="C63" i="33" s="1"/>
  <c r="D63" i="33" s="1"/>
  <c r="E63" i="33" s="1"/>
  <c r="F63" i="33" s="1"/>
  <c r="G63" i="33" s="1"/>
  <c r="H63" i="33" s="1"/>
  <c r="I63" i="33" s="1"/>
  <c r="J63" i="33" s="1"/>
  <c r="K63" i="33" s="1"/>
  <c r="L63" i="33" s="1"/>
  <c r="M63" i="33" s="1"/>
  <c r="B64" i="33" s="1"/>
  <c r="C64" i="33" s="1"/>
  <c r="D64" i="33" s="1"/>
  <c r="E64" i="33" s="1"/>
  <c r="F64" i="33" s="1"/>
  <c r="G64" i="33" s="1"/>
  <c r="H64" i="33" s="1"/>
  <c r="I64" i="33" s="1"/>
  <c r="J64" i="33" s="1"/>
  <c r="K64" i="33" s="1"/>
  <c r="L64" i="33" s="1"/>
  <c r="M64" i="33" s="1"/>
  <c r="B65" i="33" s="1"/>
  <c r="C65" i="33" s="1"/>
  <c r="D65" i="33" s="1"/>
  <c r="E65" i="33" s="1"/>
  <c r="F65" i="33" s="1"/>
  <c r="G65" i="33" s="1"/>
  <c r="H65" i="33" s="1"/>
  <c r="I65" i="33" s="1"/>
  <c r="J65" i="33" s="1"/>
  <c r="K65" i="33" s="1"/>
  <c r="L65" i="33" s="1"/>
  <c r="M65" i="33" s="1"/>
  <c r="B66" i="33" s="1"/>
  <c r="C66" i="33" s="1"/>
  <c r="D66" i="33" s="1"/>
  <c r="E66" i="33" s="1"/>
  <c r="F66" i="33" s="1"/>
  <c r="G66" i="33" s="1"/>
  <c r="H66" i="33" s="1"/>
  <c r="I66" i="33" s="1"/>
  <c r="J66" i="33" s="1"/>
  <c r="K66" i="33" s="1"/>
  <c r="L66" i="33" s="1"/>
  <c r="M66" i="33" s="1"/>
  <c r="B67" i="33" s="1"/>
  <c r="C67" i="33" s="1"/>
  <c r="D67" i="33" s="1"/>
  <c r="E67" i="33" s="1"/>
  <c r="F67" i="33" s="1"/>
  <c r="G67" i="33" s="1"/>
  <c r="H67" i="33" s="1"/>
  <c r="I67" i="33" s="1"/>
  <c r="J67" i="33" s="1"/>
  <c r="K67" i="33" s="1"/>
  <c r="L67" i="33" s="1"/>
  <c r="M67" i="33" s="1"/>
  <c r="B68" i="33" s="1"/>
  <c r="C68" i="33" s="1"/>
  <c r="D68" i="33" s="1"/>
  <c r="E68" i="33" s="1"/>
  <c r="F68" i="33" s="1"/>
  <c r="G68" i="33" s="1"/>
  <c r="H68" i="33" s="1"/>
  <c r="I68" i="33" s="1"/>
  <c r="J68" i="33" s="1"/>
  <c r="K68" i="33" s="1"/>
  <c r="L68" i="33" s="1"/>
  <c r="M68" i="33" s="1"/>
  <c r="B69" i="33" s="1"/>
  <c r="C69" i="33" s="1"/>
  <c r="D69" i="33" s="1"/>
  <c r="E69" i="33" s="1"/>
  <c r="F69" i="33" s="1"/>
  <c r="G69" i="33" s="1"/>
  <c r="H69" i="33" s="1"/>
  <c r="I69" i="33" s="1"/>
  <c r="J69" i="33" s="1"/>
  <c r="K69" i="33" s="1"/>
  <c r="L69" i="33" s="1"/>
  <c r="M69" i="33" s="1"/>
  <c r="B70" i="33" s="1"/>
  <c r="C70" i="33" s="1"/>
  <c r="D70" i="33" s="1"/>
  <c r="E70" i="33" s="1"/>
  <c r="F70" i="33" s="1"/>
  <c r="G70" i="33" s="1"/>
  <c r="H70" i="33" s="1"/>
  <c r="I70" i="33" s="1"/>
  <c r="J70" i="33" s="1"/>
  <c r="K70" i="33" s="1"/>
  <c r="L70" i="33" s="1"/>
  <c r="M70" i="33" s="1"/>
  <c r="B71" i="33" s="1"/>
  <c r="C71" i="33" s="1"/>
  <c r="D71" i="33" s="1"/>
  <c r="E71" i="33" s="1"/>
  <c r="F71" i="33" s="1"/>
  <c r="G71" i="33" s="1"/>
  <c r="H71" i="33" s="1"/>
  <c r="I71" i="33" s="1"/>
  <c r="J71" i="33" s="1"/>
  <c r="K71" i="33" s="1"/>
  <c r="L71" i="33" s="1"/>
  <c r="M71" i="33" s="1"/>
  <c r="B72" i="33" s="1"/>
  <c r="C72" i="33" s="1"/>
  <c r="D72" i="33" s="1"/>
  <c r="E72" i="33" s="1"/>
  <c r="F72" i="33" s="1"/>
  <c r="G72" i="33" s="1"/>
  <c r="H72" i="33" s="1"/>
  <c r="I72" i="33" s="1"/>
  <c r="J72" i="33" s="1"/>
  <c r="K72" i="33" s="1"/>
  <c r="L72" i="33" s="1"/>
  <c r="M72" i="33" s="1"/>
  <c r="B73" i="33" s="1"/>
  <c r="C73" i="33" s="1"/>
  <c r="D73" i="33" s="1"/>
  <c r="E73" i="33" s="1"/>
  <c r="F73" i="33" s="1"/>
  <c r="G73" i="33" s="1"/>
  <c r="H73" i="33" s="1"/>
  <c r="I73" i="33" s="1"/>
  <c r="J73" i="33" s="1"/>
  <c r="K73" i="33" s="1"/>
  <c r="L73" i="33" s="1"/>
  <c r="M73" i="33" s="1"/>
  <c r="B74" i="33" s="1"/>
  <c r="C74" i="33" s="1"/>
  <c r="D74" i="33" s="1"/>
  <c r="E74" i="33" s="1"/>
  <c r="F74" i="33" s="1"/>
  <c r="G74" i="33" s="1"/>
  <c r="H74" i="33" s="1"/>
  <c r="I74" i="33" s="1"/>
  <c r="J74" i="33" s="1"/>
  <c r="K74" i="33" s="1"/>
  <c r="L74" i="33" s="1"/>
  <c r="M74" i="33" s="1"/>
  <c r="B75" i="33" s="1"/>
  <c r="C75" i="33" s="1"/>
  <c r="D75" i="33" s="1"/>
  <c r="E75" i="33" s="1"/>
  <c r="F75" i="33" s="1"/>
  <c r="G75" i="33" s="1"/>
  <c r="H75" i="33" s="1"/>
  <c r="I75" i="33" s="1"/>
  <c r="J75" i="33" s="1"/>
  <c r="K75" i="33" s="1"/>
  <c r="L75" i="33" s="1"/>
  <c r="M75" i="33" s="1"/>
  <c r="B76" i="33" s="1"/>
  <c r="C76" i="33" s="1"/>
  <c r="D76" i="33" s="1"/>
  <c r="E76" i="33" s="1"/>
  <c r="F76" i="33" s="1"/>
  <c r="G76" i="33" s="1"/>
  <c r="H76" i="33" s="1"/>
  <c r="I76" i="33" s="1"/>
  <c r="J76" i="33" s="1"/>
  <c r="K76" i="33" s="1"/>
  <c r="L76" i="33" s="1"/>
  <c r="M76" i="33" s="1"/>
  <c r="B77" i="33" s="1"/>
  <c r="C77" i="33" s="1"/>
  <c r="D77" i="33" s="1"/>
  <c r="E77" i="33" s="1"/>
  <c r="F77" i="33" s="1"/>
  <c r="G77" i="33" s="1"/>
  <c r="H77" i="33" s="1"/>
  <c r="I77" i="33" s="1"/>
  <c r="J77" i="33" s="1"/>
  <c r="K77" i="33" s="1"/>
  <c r="L77" i="33" s="1"/>
  <c r="M77" i="33" s="1"/>
  <c r="B78" i="33" s="1"/>
  <c r="C78" i="33" s="1"/>
  <c r="D78" i="33" s="1"/>
  <c r="E78" i="33" s="1"/>
  <c r="F78" i="33" s="1"/>
  <c r="G78" i="33" s="1"/>
  <c r="H78" i="33" s="1"/>
  <c r="I78" i="33" s="1"/>
  <c r="J78" i="33" s="1"/>
  <c r="K78" i="33" s="1"/>
  <c r="L78" i="33" s="1"/>
  <c r="M78" i="33" s="1"/>
  <c r="B79" i="33" s="1"/>
  <c r="C79" i="33" s="1"/>
  <c r="D79" i="33" s="1"/>
  <c r="E79" i="33" s="1"/>
  <c r="F79" i="33" s="1"/>
  <c r="G79" i="33" s="1"/>
  <c r="H79" i="33" s="1"/>
  <c r="I79" i="33" s="1"/>
  <c r="J79" i="33" s="1"/>
  <c r="K79" i="33" s="1"/>
  <c r="L79" i="33" s="1"/>
  <c r="M79" i="33" s="1"/>
  <c r="B80" i="33" s="1"/>
  <c r="C80" i="33" s="1"/>
  <c r="D80" i="33" s="1"/>
  <c r="E80" i="33" s="1"/>
  <c r="F80" i="33" s="1"/>
  <c r="G80" i="33" s="1"/>
  <c r="H80" i="33" s="1"/>
  <c r="I80" i="33" s="1"/>
  <c r="J80" i="33" s="1"/>
  <c r="K80" i="33" s="1"/>
  <c r="L80" i="33" s="1"/>
  <c r="M80" i="33" s="1"/>
  <c r="B81" i="33" s="1"/>
  <c r="C81" i="33" s="1"/>
  <c r="D81" i="33" s="1"/>
  <c r="E81" i="33" s="1"/>
  <c r="F81" i="33" s="1"/>
  <c r="G81" i="33" s="1"/>
  <c r="H81" i="33" s="1"/>
  <c r="I81" i="33" s="1"/>
  <c r="J81" i="33" s="1"/>
  <c r="K81" i="33" s="1"/>
  <c r="L81" i="33" s="1"/>
  <c r="M81" i="33" s="1"/>
  <c r="B82" i="33" s="1"/>
  <c r="C82" i="33" s="1"/>
  <c r="D82" i="33" s="1"/>
  <c r="E82" i="33" s="1"/>
  <c r="F82" i="33" s="1"/>
  <c r="G82" i="33" s="1"/>
  <c r="H82" i="33" s="1"/>
  <c r="I82" i="33" s="1"/>
  <c r="J82" i="33" s="1"/>
  <c r="K82" i="33" s="1"/>
  <c r="L82" i="33" s="1"/>
  <c r="M82" i="33" s="1"/>
  <c r="B83" i="33" s="1"/>
  <c r="C83" i="33" s="1"/>
  <c r="D83" i="33" s="1"/>
  <c r="E83" i="33" s="1"/>
  <c r="F83" i="33" s="1"/>
  <c r="G83" i="33" s="1"/>
  <c r="H83" i="33" s="1"/>
  <c r="I83" i="33" s="1"/>
  <c r="J83" i="33" s="1"/>
  <c r="K83" i="33" s="1"/>
  <c r="L83" i="33" s="1"/>
  <c r="M83" i="33" s="1"/>
  <c r="B84" i="33" s="1"/>
  <c r="C84" i="33" s="1"/>
  <c r="D84" i="33" s="1"/>
  <c r="E84" i="33" s="1"/>
  <c r="F84" i="33" s="1"/>
  <c r="G84" i="33" s="1"/>
  <c r="H84" i="33" s="1"/>
  <c r="I84" i="33" s="1"/>
  <c r="J84" i="33" s="1"/>
  <c r="K84" i="33" s="1"/>
  <c r="L84" i="33" s="1"/>
  <c r="M84" i="33" s="1"/>
  <c r="B85" i="33" s="1"/>
  <c r="C85" i="33" s="1"/>
  <c r="D85" i="33" s="1"/>
  <c r="E85" i="33" s="1"/>
  <c r="F85" i="33" s="1"/>
  <c r="G85" i="33" s="1"/>
  <c r="H85" i="33" s="1"/>
  <c r="I85" i="33" s="1"/>
  <c r="J85" i="33" s="1"/>
  <c r="K85" i="33" s="1"/>
  <c r="L85" i="33" s="1"/>
  <c r="M85" i="33" s="1"/>
  <c r="B86" i="33" s="1"/>
  <c r="C86" i="33" s="1"/>
  <c r="D86" i="33" s="1"/>
  <c r="E86" i="33" s="1"/>
  <c r="F86" i="33" s="1"/>
  <c r="G86" i="33" s="1"/>
  <c r="H86" i="33" s="1"/>
  <c r="I86" i="33" s="1"/>
  <c r="J86" i="33" s="1"/>
  <c r="K86" i="33" s="1"/>
  <c r="L86" i="33" s="1"/>
  <c r="M86" i="33" s="1"/>
  <c r="B87" i="33" s="1"/>
  <c r="C87" i="33" s="1"/>
  <c r="D87" i="33" s="1"/>
  <c r="E87" i="33" s="1"/>
  <c r="F87" i="33" s="1"/>
  <c r="G87" i="33" s="1"/>
  <c r="H87" i="33" s="1"/>
  <c r="I87" i="33" s="1"/>
  <c r="J87" i="33" s="1"/>
  <c r="K87" i="33" s="1"/>
  <c r="L87" i="33" s="1"/>
  <c r="M87" i="33" s="1"/>
  <c r="B88" i="33" s="1"/>
  <c r="C88" i="33" s="1"/>
  <c r="D88" i="33" s="1"/>
  <c r="E88" i="33" s="1"/>
  <c r="F88" i="33" s="1"/>
  <c r="G88" i="33" s="1"/>
  <c r="H88" i="33" s="1"/>
  <c r="I88" i="33" s="1"/>
  <c r="J88" i="33" s="1"/>
  <c r="K88" i="33" s="1"/>
  <c r="L88" i="33" s="1"/>
  <c r="M88" i="33" s="1"/>
  <c r="B89" i="33" s="1"/>
  <c r="C89" i="33" s="1"/>
  <c r="D89" i="33" s="1"/>
  <c r="E89" i="33" s="1"/>
  <c r="F89" i="33" s="1"/>
  <c r="G89" i="33" s="1"/>
  <c r="H89" i="33" s="1"/>
  <c r="I89" i="33" s="1"/>
  <c r="J89" i="33" s="1"/>
  <c r="K89" i="33" s="1"/>
  <c r="L89" i="33" s="1"/>
  <c r="M89" i="33" s="1"/>
  <c r="B90" i="33" s="1"/>
  <c r="C90" i="33" s="1"/>
  <c r="D90" i="33" s="1"/>
  <c r="E90" i="33" s="1"/>
  <c r="F90" i="33" s="1"/>
  <c r="G90" i="33" s="1"/>
  <c r="H90" i="33" s="1"/>
  <c r="I90" i="33" s="1"/>
  <c r="J90" i="33" s="1"/>
  <c r="K90" i="33" s="1"/>
  <c r="L90" i="33" s="1"/>
  <c r="M90" i="33" s="1"/>
  <c r="B91" i="33" s="1"/>
  <c r="C91" i="33" s="1"/>
  <c r="D91" i="33" s="1"/>
  <c r="E91" i="33" s="1"/>
  <c r="F91" i="33" s="1"/>
  <c r="G91" i="33" s="1"/>
  <c r="H91" i="33" s="1"/>
  <c r="I91" i="33" s="1"/>
  <c r="J91" i="33" s="1"/>
  <c r="K91" i="33" s="1"/>
  <c r="L91" i="33" s="1"/>
  <c r="M91" i="33" s="1"/>
  <c r="B92" i="33" s="1"/>
  <c r="C92" i="33" s="1"/>
  <c r="D92" i="33" s="1"/>
  <c r="E92" i="33" s="1"/>
  <c r="F92" i="33" s="1"/>
  <c r="G92" i="33" s="1"/>
  <c r="H92" i="33" s="1"/>
  <c r="I92" i="33" s="1"/>
  <c r="J92" i="33" s="1"/>
  <c r="K92" i="33" s="1"/>
  <c r="L92" i="33" s="1"/>
  <c r="M92" i="33" s="1"/>
  <c r="B93" i="33" s="1"/>
  <c r="C93" i="33" s="1"/>
  <c r="D93" i="33" s="1"/>
  <c r="E93" i="33" s="1"/>
  <c r="F93" i="33" s="1"/>
  <c r="G93" i="33" s="1"/>
  <c r="H93" i="33" s="1"/>
  <c r="I93" i="33" s="1"/>
  <c r="J93" i="33" s="1"/>
  <c r="K93" i="33" s="1"/>
  <c r="L93" i="33" s="1"/>
  <c r="M93" i="33" s="1"/>
  <c r="B94" i="33" s="1"/>
  <c r="C94" i="33" s="1"/>
  <c r="D94" i="33" s="1"/>
  <c r="E94" i="33" s="1"/>
  <c r="F94" i="33" s="1"/>
  <c r="G94" i="33" s="1"/>
  <c r="H94" i="33" s="1"/>
  <c r="I94" i="33" s="1"/>
  <c r="J94" i="33" s="1"/>
  <c r="K94" i="33" s="1"/>
  <c r="L94" i="33" s="1"/>
  <c r="M94" i="33" s="1"/>
  <c r="B95" i="33" s="1"/>
  <c r="C95" i="33" s="1"/>
  <c r="D95" i="33" s="1"/>
  <c r="E95" i="33" s="1"/>
  <c r="F95" i="33" s="1"/>
  <c r="G95" i="33" s="1"/>
  <c r="H95" i="33" s="1"/>
  <c r="I95" i="33" s="1"/>
  <c r="J95" i="33" s="1"/>
  <c r="K95" i="33" s="1"/>
  <c r="L95" i="33" s="1"/>
  <c r="M95" i="33" s="1"/>
  <c r="B96" i="33" s="1"/>
  <c r="C96" i="33" s="1"/>
  <c r="D96" i="33" s="1"/>
  <c r="E96" i="33" s="1"/>
  <c r="F96" i="33" s="1"/>
  <c r="G96" i="33" s="1"/>
  <c r="H96" i="33" s="1"/>
  <c r="I96" i="33" s="1"/>
  <c r="J96" i="33" s="1"/>
  <c r="K96" i="33" s="1"/>
  <c r="L96" i="33" s="1"/>
  <c r="M96" i="33" s="1"/>
  <c r="B97" i="33" s="1"/>
  <c r="C97" i="33" s="1"/>
  <c r="D97" i="33" s="1"/>
  <c r="E97" i="33" s="1"/>
  <c r="F97" i="33" s="1"/>
  <c r="G97" i="33" s="1"/>
  <c r="H97" i="33" s="1"/>
  <c r="I97" i="33" s="1"/>
  <c r="J97" i="33" s="1"/>
  <c r="K97" i="33" s="1"/>
  <c r="L97" i="33" s="1"/>
  <c r="M97" i="33" s="1"/>
  <c r="B98" i="33" s="1"/>
  <c r="C98" i="33" s="1"/>
  <c r="D98" i="33" s="1"/>
  <c r="E98" i="33" s="1"/>
  <c r="F98" i="33" s="1"/>
  <c r="G98" i="33" s="1"/>
  <c r="H98" i="33" s="1"/>
  <c r="I98" i="33" s="1"/>
  <c r="J98" i="33" s="1"/>
  <c r="K98" i="33" s="1"/>
  <c r="L98" i="33" s="1"/>
  <c r="M98" i="33" s="1"/>
  <c r="B99" i="33" s="1"/>
  <c r="C99" i="33" s="1"/>
  <c r="D99" i="33" s="1"/>
  <c r="E99" i="33" s="1"/>
  <c r="F99" i="33" s="1"/>
  <c r="G99" i="33" s="1"/>
  <c r="H99" i="33" s="1"/>
  <c r="I99" i="33" s="1"/>
  <c r="J99" i="33" s="1"/>
  <c r="K99" i="33" s="1"/>
  <c r="L99" i="33" s="1"/>
  <c r="M99" i="33" s="1"/>
  <c r="D13" i="20"/>
  <c r="D14" i="20"/>
  <c r="D52" i="20"/>
  <c r="E15" i="20"/>
  <c r="E9" i="20"/>
  <c r="D50" i="20"/>
  <c r="E14" i="20"/>
  <c r="D40" i="20"/>
  <c r="D7" i="20"/>
  <c r="E29" i="20"/>
  <c r="E28" i="20"/>
  <c r="E40" i="20"/>
  <c r="D46" i="20"/>
  <c r="E5" i="20"/>
  <c r="E4" i="20"/>
  <c r="D16" i="20"/>
  <c r="D24" i="20"/>
  <c r="E46" i="20"/>
  <c r="D17" i="20"/>
  <c r="E25" i="20"/>
  <c r="E31" i="20"/>
  <c r="E21" i="20"/>
  <c r="D29" i="20"/>
  <c r="E43" i="20"/>
  <c r="D28" i="20"/>
  <c r="D19" i="20"/>
  <c r="D43" i="20"/>
  <c r="C15" i="33"/>
  <c r="E12" i="20"/>
  <c r="E7" i="20"/>
  <c r="D31" i="20"/>
  <c r="D5" i="20"/>
  <c r="I11" i="33"/>
  <c r="W12" i="33"/>
  <c r="W11" i="33"/>
  <c r="Q13" i="33"/>
  <c r="Q15" i="33"/>
  <c r="D49" i="28"/>
  <c r="C49" i="28"/>
  <c r="D8" i="28"/>
  <c r="C8" i="28"/>
  <c r="D15" i="33" l="1"/>
  <c r="J15" i="33"/>
  <c r="G10" i="2"/>
  <c r="G10" i="25" s="1"/>
  <c r="AI15" i="33"/>
  <c r="B5" i="16"/>
  <c r="G9" i="25"/>
  <c r="E15" i="33"/>
  <c r="H11" i="34"/>
  <c r="H12" i="34" s="1"/>
  <c r="H13" i="34" s="1"/>
  <c r="F15" i="33"/>
  <c r="H11" i="2"/>
  <c r="C4" i="27"/>
  <c r="I13" i="33"/>
  <c r="I15" i="33"/>
  <c r="L14" i="33" s="1"/>
  <c r="L15" i="33" s="1"/>
  <c r="W13" i="33"/>
  <c r="W15" i="33"/>
  <c r="R15" i="33"/>
  <c r="S15" i="33"/>
  <c r="D50" i="28"/>
  <c r="C50" i="28" s="1"/>
  <c r="D9" i="28"/>
  <c r="C9" i="28"/>
  <c r="H11" i="25" l="1"/>
  <c r="C5" i="27"/>
  <c r="F44" i="2"/>
  <c r="F59" i="25"/>
  <c r="F57" i="25"/>
  <c r="F58" i="25"/>
  <c r="F55" i="25"/>
  <c r="F45" i="25"/>
  <c r="F54" i="25"/>
  <c r="F49" i="25"/>
  <c r="F53" i="25"/>
  <c r="F51" i="25"/>
  <c r="F46" i="25"/>
  <c r="F44" i="25"/>
  <c r="F50" i="25"/>
  <c r="F48" i="25"/>
  <c r="F43" i="25"/>
  <c r="C139" i="34"/>
  <c r="E12" i="34"/>
  <c r="F53" i="34"/>
  <c r="E53" i="34" s="1"/>
  <c r="G53" i="34" s="1"/>
  <c r="F55" i="34"/>
  <c r="E55" i="34" s="1"/>
  <c r="G55" i="34" s="1"/>
  <c r="F43" i="34"/>
  <c r="F49" i="34"/>
  <c r="F57" i="34"/>
  <c r="E57" i="34" s="1"/>
  <c r="G57" i="34" s="1"/>
  <c r="F54" i="34"/>
  <c r="E54" i="34" s="1"/>
  <c r="G54" i="34" s="1"/>
  <c r="F50" i="34"/>
  <c r="E50" i="34" s="1"/>
  <c r="G50" i="34" s="1"/>
  <c r="F48" i="34"/>
  <c r="E48" i="34" s="1"/>
  <c r="G48" i="34" s="1"/>
  <c r="F51" i="34"/>
  <c r="E51" i="34" s="1"/>
  <c r="G51" i="34" s="1"/>
  <c r="F59" i="34"/>
  <c r="E59" i="34" s="1"/>
  <c r="G59" i="34" s="1"/>
  <c r="F58" i="34"/>
  <c r="E58" i="34" s="1"/>
  <c r="G58" i="34" s="1"/>
  <c r="F45" i="34"/>
  <c r="E45" i="34" s="1"/>
  <c r="G45" i="34" s="1"/>
  <c r="F44" i="34"/>
  <c r="E44" i="34" s="1"/>
  <c r="G44" i="34" s="1"/>
  <c r="F46" i="34"/>
  <c r="E46" i="34" s="1"/>
  <c r="G46" i="34" s="1"/>
  <c r="F43" i="2"/>
  <c r="E43" i="2" s="1"/>
  <c r="F48" i="2"/>
  <c r="F50" i="2"/>
  <c r="F53" i="2"/>
  <c r="F55" i="2"/>
  <c r="X15" i="33"/>
  <c r="Y15" i="33"/>
  <c r="F51" i="2"/>
  <c r="F54" i="2"/>
  <c r="F45" i="2"/>
  <c r="F59" i="2"/>
  <c r="K15" i="33"/>
  <c r="F49" i="2"/>
  <c r="E49" i="2" s="1"/>
  <c r="F46" i="2"/>
  <c r="F57" i="2"/>
  <c r="F58" i="2"/>
  <c r="D51" i="28"/>
  <c r="C51" i="28" s="1"/>
  <c r="D10" i="28"/>
  <c r="C10" i="28" s="1"/>
  <c r="G60" i="34" l="1"/>
  <c r="G69" i="2"/>
  <c r="H69" i="2" s="1"/>
  <c r="G69" i="34"/>
  <c r="H69" i="34" s="1"/>
  <c r="D52" i="28"/>
  <c r="C52" i="28" s="1"/>
  <c r="D11" i="28"/>
  <c r="C11" i="28" s="1"/>
  <c r="H119" i="34" l="1"/>
  <c r="E130" i="34"/>
  <c r="H61" i="34"/>
  <c r="H63" i="34" s="1"/>
  <c r="G61" i="34"/>
  <c r="D53" i="28"/>
  <c r="C53" i="28"/>
  <c r="D12" i="28"/>
  <c r="C12" i="28"/>
  <c r="E129" i="34" l="1"/>
  <c r="H65" i="34"/>
  <c r="H121" i="34" s="1"/>
  <c r="D54" i="28"/>
  <c r="C54" i="28"/>
  <c r="D13" i="28"/>
  <c r="C13" i="28"/>
  <c r="E133" i="34" l="1"/>
  <c r="H126" i="34"/>
  <c r="D135" i="34" s="1"/>
  <c r="E135" i="34" s="1"/>
  <c r="D55" i="28"/>
  <c r="C55" i="28" s="1"/>
  <c r="D14" i="28"/>
  <c r="C14" i="28" s="1"/>
  <c r="C182" i="34" l="1"/>
  <c r="D136" i="34"/>
  <c r="E136" i="34" s="1"/>
  <c r="C181" i="34"/>
  <c r="D134" i="34"/>
  <c r="E134" i="34" s="1"/>
  <c r="D56" i="28"/>
  <c r="C56" i="28" s="1"/>
  <c r="D15" i="28"/>
  <c r="C15" i="28"/>
  <c r="E138" i="34" l="1"/>
  <c r="D139" i="34" s="1"/>
  <c r="E139" i="34" s="1"/>
  <c r="H128" i="34" s="1"/>
  <c r="D172" i="34" s="1"/>
  <c r="E172" i="34" s="1"/>
  <c r="D57" i="28"/>
  <c r="C57" i="28"/>
  <c r="D16" i="28"/>
  <c r="C16" i="28"/>
  <c r="D149" i="34" l="1"/>
  <c r="E149" i="34" s="1"/>
  <c r="D147" i="34"/>
  <c r="E147" i="34" s="1"/>
  <c r="D165" i="34"/>
  <c r="E165" i="34" s="1"/>
  <c r="H165" i="34" s="1"/>
  <c r="D167" i="34" s="1"/>
  <c r="E167" i="34" s="1"/>
  <c r="H167" i="34" s="1"/>
  <c r="D142" i="34"/>
  <c r="E142" i="34" s="1"/>
  <c r="D144" i="34" s="1"/>
  <c r="E144" i="34" s="1"/>
  <c r="H141" i="34" s="1"/>
  <c r="G171" i="34"/>
  <c r="H169" i="34"/>
  <c r="G169" i="34" s="1"/>
  <c r="D58" i="28"/>
  <c r="C58" i="28"/>
  <c r="D17" i="28"/>
  <c r="C17" i="28"/>
  <c r="H146" i="34" l="1"/>
  <c r="G146" i="34" s="1"/>
  <c r="G141" i="34"/>
  <c r="D59" i="28"/>
  <c r="C59" i="28"/>
  <c r="D18" i="28"/>
  <c r="C18" i="28"/>
  <c r="H179" i="34" l="1"/>
  <c r="C184" i="34" s="1"/>
  <c r="D60" i="28"/>
  <c r="C60" i="28"/>
  <c r="D19" i="28"/>
  <c r="C19" i="28"/>
  <c r="H6" i="34" l="1"/>
  <c r="G14" i="34"/>
  <c r="H14" i="34"/>
  <c r="C183" i="34"/>
  <c r="D61" i="28"/>
  <c r="C61" i="28" s="1"/>
  <c r="D20" i="28"/>
  <c r="C20" i="28" s="1"/>
  <c r="D62" i="28" l="1"/>
  <c r="C62" i="28"/>
  <c r="D21" i="28"/>
  <c r="C21" i="28"/>
  <c r="D63" i="28" l="1"/>
  <c r="C63" i="28" s="1"/>
  <c r="D22" i="28"/>
  <c r="C22" i="28"/>
  <c r="D64" i="28" l="1"/>
  <c r="C64" i="28" s="1"/>
  <c r="D23" i="28"/>
  <c r="C23" i="28"/>
  <c r="D65" i="28" l="1"/>
  <c r="C65" i="28"/>
  <c r="D24" i="28"/>
  <c r="C24" i="28"/>
  <c r="D66" i="28" l="1"/>
  <c r="C66" i="28"/>
  <c r="C5" i="29" s="1"/>
  <c r="D25" i="28"/>
  <c r="C25" i="28" s="1"/>
  <c r="D67" i="28" l="1"/>
  <c r="C67" i="28" s="1"/>
  <c r="D26" i="28"/>
  <c r="C26" i="28"/>
  <c r="D68" i="28" l="1"/>
  <c r="C68" i="28" s="1"/>
  <c r="D27" i="28"/>
  <c r="C27" i="28"/>
  <c r="D69" i="28" l="1"/>
  <c r="C69" i="28"/>
  <c r="D28" i="28"/>
  <c r="C28" i="28"/>
  <c r="D70" i="28" l="1"/>
  <c r="C70" i="28" s="1"/>
  <c r="D29" i="28"/>
  <c r="C29" i="28"/>
  <c r="D71" i="28" l="1"/>
  <c r="C71" i="28"/>
  <c r="D30" i="28"/>
  <c r="C30" i="28" s="1"/>
  <c r="D72" i="28" l="1"/>
  <c r="C72" i="28"/>
  <c r="D31" i="28"/>
  <c r="C31" i="28"/>
  <c r="D73" i="28" l="1"/>
  <c r="C73" i="28"/>
  <c r="D32" i="28"/>
  <c r="C32" i="28" s="1"/>
  <c r="D74" i="28" l="1"/>
  <c r="C74" i="28"/>
  <c r="D33" i="28"/>
  <c r="C33" i="28"/>
  <c r="D75" i="28" l="1"/>
  <c r="C75" i="28"/>
  <c r="D34" i="28"/>
  <c r="C34" i="28"/>
  <c r="D76" i="28" l="1"/>
  <c r="C76" i="28"/>
  <c r="D35" i="28"/>
  <c r="C35" i="28"/>
  <c r="D77" i="28" l="1"/>
  <c r="C77" i="28" s="1"/>
  <c r="D36" i="28"/>
  <c r="C36" i="28"/>
  <c r="D78" i="28" l="1"/>
  <c r="C78" i="28"/>
  <c r="D37" i="28"/>
  <c r="C37" i="28" s="1"/>
  <c r="D79" i="28" l="1"/>
  <c r="C79" i="28" s="1"/>
  <c r="D38" i="28"/>
  <c r="C38" i="28"/>
  <c r="D80" i="28" l="1"/>
  <c r="C80" i="28"/>
  <c r="D39" i="28"/>
  <c r="C39" i="28"/>
  <c r="D81" i="28" l="1"/>
  <c r="C81" i="28"/>
  <c r="D40" i="28"/>
  <c r="C40" i="28"/>
  <c r="D82" i="28" l="1"/>
  <c r="C82" i="28"/>
  <c r="D41" i="28"/>
  <c r="C41" i="28" s="1"/>
  <c r="D83" i="28" l="1"/>
  <c r="C83" i="28" s="1"/>
  <c r="D42" i="28"/>
  <c r="C42" i="28" s="1"/>
  <c r="D84" i="28" l="1"/>
  <c r="C84" i="28" s="1"/>
  <c r="D43" i="28"/>
  <c r="C43" i="28"/>
  <c r="D85" i="28" l="1"/>
  <c r="C85" i="28" s="1"/>
  <c r="D44" i="28"/>
  <c r="C44" i="28" s="1"/>
  <c r="I31" i="4"/>
  <c r="I30" i="4"/>
  <c r="I29" i="4"/>
  <c r="I28" i="4"/>
  <c r="J27" i="4"/>
  <c r="J25" i="4"/>
  <c r="I26" i="4"/>
  <c r="J22" i="4"/>
  <c r="J21" i="4"/>
  <c r="J17" i="4"/>
  <c r="J16" i="4"/>
  <c r="J8" i="4"/>
  <c r="J7" i="4"/>
  <c r="H1" i="25"/>
  <c r="B5" i="27"/>
  <c r="B4" i="27"/>
  <c r="D86" i="28" l="1"/>
  <c r="C86" i="28"/>
  <c r="D45" i="28"/>
  <c r="C45" i="28"/>
  <c r="D87" i="28" l="1"/>
  <c r="C87" i="28"/>
  <c r="D46" i="28"/>
  <c r="C46" i="28" s="1"/>
  <c r="A191" i="25"/>
  <c r="A190" i="25"/>
  <c r="A189" i="25"/>
  <c r="A188" i="25"/>
  <c r="A187" i="25"/>
  <c r="E176" i="25"/>
  <c r="E175" i="25"/>
  <c r="E174" i="25"/>
  <c r="E173" i="25"/>
  <c r="C172" i="25"/>
  <c r="C167" i="25"/>
  <c r="C165" i="25"/>
  <c r="E163" i="25"/>
  <c r="E161" i="25"/>
  <c r="E160" i="25"/>
  <c r="E159" i="25"/>
  <c r="C157" i="25"/>
  <c r="E156" i="25"/>
  <c r="E154" i="25"/>
  <c r="E153" i="25"/>
  <c r="E152" i="25"/>
  <c r="E151" i="25"/>
  <c r="E150" i="25"/>
  <c r="E148" i="25"/>
  <c r="C149" i="25"/>
  <c r="C147" i="25"/>
  <c r="C144" i="25"/>
  <c r="E143" i="25"/>
  <c r="C143" i="25" s="1"/>
  <c r="C142" i="25"/>
  <c r="C136" i="25"/>
  <c r="C134" i="25"/>
  <c r="F123" i="25"/>
  <c r="G72" i="25"/>
  <c r="B116" i="25"/>
  <c r="B115" i="25"/>
  <c r="B114" i="25"/>
  <c r="B113" i="25"/>
  <c r="B112" i="25"/>
  <c r="B111" i="25"/>
  <c r="B109" i="25"/>
  <c r="B105" i="25"/>
  <c r="B104" i="25"/>
  <c r="B103" i="25"/>
  <c r="B102" i="25"/>
  <c r="B101" i="25"/>
  <c r="B100" i="25"/>
  <c r="B99" i="25"/>
  <c r="B98" i="25"/>
  <c r="B97" i="25"/>
  <c r="B96" i="25"/>
  <c r="B95" i="25"/>
  <c r="B94" i="25"/>
  <c r="B93" i="25"/>
  <c r="B92" i="25"/>
  <c r="B91" i="25"/>
  <c r="B90" i="25"/>
  <c r="B89" i="25"/>
  <c r="B88" i="25"/>
  <c r="B87" i="25"/>
  <c r="B86" i="25"/>
  <c r="B85" i="25"/>
  <c r="B84" i="25"/>
  <c r="B83" i="25"/>
  <c r="B82" i="25"/>
  <c r="B81" i="25"/>
  <c r="B80" i="25"/>
  <c r="B79" i="25"/>
  <c r="B78" i="25"/>
  <c r="B77" i="25"/>
  <c r="B76" i="25"/>
  <c r="B75" i="25"/>
  <c r="B74" i="25"/>
  <c r="B73" i="25"/>
  <c r="B72" i="25"/>
  <c r="F116" i="25"/>
  <c r="F115" i="25"/>
  <c r="F114" i="25"/>
  <c r="F113" i="25"/>
  <c r="F112" i="25"/>
  <c r="F111" i="25"/>
  <c r="F109"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E72" i="25"/>
  <c r="E73" i="25"/>
  <c r="E74" i="25"/>
  <c r="E75" i="25"/>
  <c r="H75" i="25" s="1"/>
  <c r="E76" i="25"/>
  <c r="E77" i="25"/>
  <c r="E78" i="25"/>
  <c r="E79" i="25"/>
  <c r="E80" i="25"/>
  <c r="E81" i="25"/>
  <c r="E82" i="25"/>
  <c r="E83" i="25"/>
  <c r="E84" i="25"/>
  <c r="E85" i="25"/>
  <c r="E86" i="25"/>
  <c r="E87" i="25"/>
  <c r="E88" i="25"/>
  <c r="E89" i="25"/>
  <c r="E90" i="25"/>
  <c r="E91" i="25"/>
  <c r="H91" i="25" s="1"/>
  <c r="E92" i="25"/>
  <c r="H92" i="25" s="1"/>
  <c r="E93" i="25"/>
  <c r="E94" i="25"/>
  <c r="E95" i="25"/>
  <c r="E96" i="25"/>
  <c r="E97" i="25"/>
  <c r="E98" i="25"/>
  <c r="E99" i="25"/>
  <c r="E100" i="25"/>
  <c r="E101" i="25"/>
  <c r="E102" i="25"/>
  <c r="E103" i="25"/>
  <c r="E104" i="25"/>
  <c r="E105" i="25"/>
  <c r="E109" i="25"/>
  <c r="H110" i="25"/>
  <c r="E111" i="25"/>
  <c r="H111" i="25" s="1"/>
  <c r="E112" i="25"/>
  <c r="E113" i="25"/>
  <c r="E114" i="25"/>
  <c r="E115" i="25"/>
  <c r="E116"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9" i="25"/>
  <c r="G111" i="25"/>
  <c r="G112" i="25"/>
  <c r="G113" i="25"/>
  <c r="G114" i="25"/>
  <c r="G115" i="25"/>
  <c r="G116" i="25"/>
  <c r="E123" i="25"/>
  <c r="G123" i="25"/>
  <c r="F69" i="25"/>
  <c r="E69" i="25"/>
  <c r="D59" i="25"/>
  <c r="D58" i="25"/>
  <c r="D57" i="25"/>
  <c r="D55" i="25"/>
  <c r="D54" i="25"/>
  <c r="D53" i="25"/>
  <c r="D51" i="25"/>
  <c r="D50" i="25"/>
  <c r="D49" i="25"/>
  <c r="D48" i="25"/>
  <c r="D46" i="25"/>
  <c r="D45" i="25"/>
  <c r="D44" i="25"/>
  <c r="C59" i="25"/>
  <c r="B59" i="25"/>
  <c r="C58" i="25"/>
  <c r="B58" i="25"/>
  <c r="C57" i="25"/>
  <c r="B57" i="25"/>
  <c r="C55" i="25"/>
  <c r="B55" i="25"/>
  <c r="C54" i="25"/>
  <c r="B54" i="25"/>
  <c r="C53" i="25"/>
  <c r="B53" i="25"/>
  <c r="C51" i="25"/>
  <c r="B51" i="25"/>
  <c r="C50" i="25"/>
  <c r="B50" i="25"/>
  <c r="C49" i="25"/>
  <c r="B49" i="25"/>
  <c r="C48" i="25"/>
  <c r="B48" i="25"/>
  <c r="C46" i="25"/>
  <c r="B46" i="25"/>
  <c r="C45" i="25"/>
  <c r="B45" i="25"/>
  <c r="C44" i="25"/>
  <c r="B44" i="25"/>
  <c r="D43" i="25"/>
  <c r="B43" i="25"/>
  <c r="E38" i="25"/>
  <c r="E37" i="25"/>
  <c r="E36" i="25"/>
  <c r="E35" i="25"/>
  <c r="E34" i="25"/>
  <c r="E33" i="25"/>
  <c r="E32" i="25"/>
  <c r="E31" i="25"/>
  <c r="E30" i="25"/>
  <c r="E24" i="25"/>
  <c r="E22" i="25"/>
  <c r="E21" i="25"/>
  <c r="E19" i="25"/>
  <c r="C38" i="25"/>
  <c r="B38" i="25"/>
  <c r="D38" i="25" s="1"/>
  <c r="A38" i="25"/>
  <c r="C37" i="25"/>
  <c r="B37" i="25"/>
  <c r="D37" i="25" s="1"/>
  <c r="A37" i="25"/>
  <c r="C36" i="25"/>
  <c r="B36" i="25"/>
  <c r="D36" i="25" s="1"/>
  <c r="A36" i="25"/>
  <c r="C35" i="25"/>
  <c r="B35" i="25"/>
  <c r="D35" i="25" s="1"/>
  <c r="A35" i="25"/>
  <c r="C34" i="25"/>
  <c r="B34" i="25"/>
  <c r="D34" i="25" s="1"/>
  <c r="A34" i="25"/>
  <c r="C33" i="25"/>
  <c r="B33" i="25"/>
  <c r="A33" i="25"/>
  <c r="C32" i="25"/>
  <c r="B32" i="25"/>
  <c r="A32" i="25"/>
  <c r="C31" i="25"/>
  <c r="B31" i="25"/>
  <c r="A31" i="25"/>
  <c r="C30" i="25"/>
  <c r="B30" i="25"/>
  <c r="A30" i="25"/>
  <c r="C24" i="25"/>
  <c r="B24" i="25"/>
  <c r="D24" i="25" s="1"/>
  <c r="A24" i="25"/>
  <c r="C22" i="25"/>
  <c r="B22" i="25"/>
  <c r="A22" i="25"/>
  <c r="C21" i="25"/>
  <c r="B21" i="25"/>
  <c r="A21" i="25"/>
  <c r="C19" i="25"/>
  <c r="B19" i="25"/>
  <c r="A19" i="25"/>
  <c r="E18" i="25"/>
  <c r="C18" i="25"/>
  <c r="B18" i="25"/>
  <c r="A18" i="25"/>
  <c r="B125" i="25"/>
  <c r="A116" i="25"/>
  <c r="A115" i="25"/>
  <c r="A114" i="25"/>
  <c r="A113" i="25"/>
  <c r="A112" i="25"/>
  <c r="A111" i="25"/>
  <c r="A109" i="25"/>
  <c r="A105" i="25"/>
  <c r="A104" i="25"/>
  <c r="A103" i="25"/>
  <c r="A102" i="25"/>
  <c r="A101" i="25"/>
  <c r="A100" i="25"/>
  <c r="A99" i="25"/>
  <c r="A98" i="25"/>
  <c r="A97" i="25"/>
  <c r="A96" i="25"/>
  <c r="A95" i="25"/>
  <c r="A94" i="25"/>
  <c r="A93" i="25"/>
  <c r="A92" i="25"/>
  <c r="A91" i="25"/>
  <c r="A90" i="25"/>
  <c r="A89" i="25"/>
  <c r="A88" i="25"/>
  <c r="A87" i="25"/>
  <c r="A86" i="25"/>
  <c r="A85" i="25"/>
  <c r="A84" i="25"/>
  <c r="A83" i="25"/>
  <c r="A82" i="25"/>
  <c r="A81" i="25"/>
  <c r="A80" i="25"/>
  <c r="A79" i="25"/>
  <c r="A78" i="25"/>
  <c r="A77" i="25"/>
  <c r="A76" i="25"/>
  <c r="A75" i="25"/>
  <c r="A74" i="25"/>
  <c r="A73" i="25"/>
  <c r="A72" i="25"/>
  <c r="C43" i="25"/>
  <c r="B14" i="25"/>
  <c r="B15" i="32" s="1"/>
  <c r="H10" i="25"/>
  <c r="H11" i="32" s="1"/>
  <c r="H9" i="25"/>
  <c r="A126" i="25"/>
  <c r="A125" i="25"/>
  <c r="A65" i="25"/>
  <c r="A64" i="25"/>
  <c r="A1" i="21"/>
  <c r="A1" i="20"/>
  <c r="H1" i="2"/>
  <c r="H1" i="4"/>
  <c r="D33" i="25" l="1"/>
  <c r="D32" i="25"/>
  <c r="D31" i="25"/>
  <c r="D30" i="25"/>
  <c r="G30" i="25" s="1"/>
  <c r="D22" i="25"/>
  <c r="G22" i="25" s="1"/>
  <c r="D21" i="25"/>
  <c r="D19" i="25"/>
  <c r="G19" i="25" s="1"/>
  <c r="D18" i="25"/>
  <c r="G18" i="25" s="1"/>
  <c r="H9" i="32"/>
  <c r="E170" i="25"/>
  <c r="H93" i="25"/>
  <c r="H77" i="25"/>
  <c r="H99" i="25"/>
  <c r="H83" i="25"/>
  <c r="G38" i="25"/>
  <c r="G24" i="25"/>
  <c r="H109" i="25"/>
  <c r="H90" i="25"/>
  <c r="H74" i="25"/>
  <c r="H105" i="25"/>
  <c r="H89" i="25"/>
  <c r="H73" i="25"/>
  <c r="H72" i="25"/>
  <c r="H104" i="25"/>
  <c r="H88" i="25"/>
  <c r="H116" i="25"/>
  <c r="H98" i="25"/>
  <c r="H82" i="25"/>
  <c r="H103" i="25"/>
  <c r="H87" i="25"/>
  <c r="H115" i="25"/>
  <c r="H123" i="25"/>
  <c r="H102" i="25"/>
  <c r="H86" i="25"/>
  <c r="H96" i="25"/>
  <c r="H80" i="25"/>
  <c r="H94" i="25"/>
  <c r="H81" i="25"/>
  <c r="G35" i="25"/>
  <c r="G37" i="25"/>
  <c r="H114" i="25"/>
  <c r="H97" i="25"/>
  <c r="H113" i="25"/>
  <c r="H95" i="25"/>
  <c r="H79" i="25"/>
  <c r="H112" i="25"/>
  <c r="H78" i="25"/>
  <c r="G34" i="25"/>
  <c r="D88" i="28"/>
  <c r="C88" i="28" s="1"/>
  <c r="D47" i="28"/>
  <c r="C47" i="28"/>
  <c r="H10" i="32"/>
  <c r="E10" i="25"/>
  <c r="G158" i="25"/>
  <c r="H76" i="25"/>
  <c r="H84" i="25"/>
  <c r="H100" i="25"/>
  <c r="H85" i="25"/>
  <c r="H101" i="25"/>
  <c r="G21" i="25"/>
  <c r="B39" i="25"/>
  <c r="G31" i="25"/>
  <c r="G32" i="25"/>
  <c r="G36" i="25"/>
  <c r="B25" i="25"/>
  <c r="B64" i="25"/>
  <c r="H9" i="4"/>
  <c r="D39" i="25" l="1"/>
  <c r="D25" i="25"/>
  <c r="G33" i="25"/>
  <c r="G39" i="25" s="1"/>
  <c r="H39" i="25" s="1"/>
  <c r="D157" i="25"/>
  <c r="E157" i="25" s="1"/>
  <c r="H37" i="32"/>
  <c r="E137" i="25"/>
  <c r="H26" i="32"/>
  <c r="D49" i="32" s="1"/>
  <c r="H117" i="25"/>
  <c r="E132" i="25" s="1"/>
  <c r="H106" i="25"/>
  <c r="E131" i="25" s="1"/>
  <c r="D89" i="28"/>
  <c r="C89" i="28"/>
  <c r="G25" i="25"/>
  <c r="H26" i="25" s="1"/>
  <c r="D90" i="28" l="1"/>
  <c r="C90" i="28"/>
  <c r="H3" i="25"/>
  <c r="H3" i="32" s="1"/>
  <c r="D91" i="28" l="1"/>
  <c r="C91" i="28"/>
  <c r="D92" i="28" s="1"/>
  <c r="C92" i="28" s="1"/>
  <c r="E10" i="2"/>
  <c r="H11" i="4"/>
  <c r="D93" i="28" l="1"/>
  <c r="C93" i="28"/>
  <c r="A5" i="22"/>
  <c r="B5" i="22" s="1"/>
  <c r="D94" i="28" l="1"/>
  <c r="C94" i="28"/>
  <c r="D95" i="28" s="1"/>
  <c r="C95" i="28" s="1"/>
  <c r="D96" i="28" s="1"/>
  <c r="C96" i="28" s="1"/>
  <c r="D97" i="28" s="1"/>
  <c r="C97" i="28" s="1"/>
  <c r="B16" i="22"/>
  <c r="B14" i="22"/>
  <c r="D4" i="22"/>
  <c r="A4" i="22"/>
  <c r="B4" i="22" s="1"/>
  <c r="A6" i="22" s="1"/>
  <c r="C2" i="22"/>
  <c r="C1" i="22"/>
  <c r="D98" i="28" l="1"/>
  <c r="C98" i="28"/>
  <c r="G158" i="2"/>
  <c r="I16" i="4" s="1"/>
  <c r="D99" i="28" l="1"/>
  <c r="C99" i="28"/>
  <c r="D33" i="16"/>
  <c r="D33" i="22"/>
  <c r="A33" i="22"/>
  <c r="B14" i="16"/>
  <c r="B16" i="16"/>
  <c r="D100" i="28" l="1"/>
  <c r="C100" i="28"/>
  <c r="E170" i="2"/>
  <c r="D101" i="28" l="1"/>
  <c r="C101" i="28"/>
  <c r="D157" i="2"/>
  <c r="E157" i="2" s="1"/>
  <c r="L16" i="4" s="1"/>
  <c r="H37" i="4"/>
  <c r="D102" i="28" l="1"/>
  <c r="C102" i="28"/>
  <c r="D103" i="28" s="1"/>
  <c r="C103" i="28" s="1"/>
  <c r="C2" i="16"/>
  <c r="C1" i="16"/>
  <c r="D104" i="28" l="1"/>
  <c r="C104" i="28"/>
  <c r="A4" i="16"/>
  <c r="AH14" i="33" l="1"/>
  <c r="B4" i="16"/>
  <c r="A6" i="16" s="1"/>
  <c r="AH11" i="33"/>
  <c r="AH12" i="33"/>
  <c r="D105" i="28"/>
  <c r="C105" i="28"/>
  <c r="D106" i="28" s="1"/>
  <c r="C106" i="28" s="1"/>
  <c r="D107" i="28" s="1"/>
  <c r="C107" i="28" s="1"/>
  <c r="C143" i="2"/>
  <c r="D18" i="2"/>
  <c r="G18" i="2" s="1"/>
  <c r="D19" i="2"/>
  <c r="G19" i="2" s="1"/>
  <c r="D20" i="2"/>
  <c r="G20" i="2" s="1"/>
  <c r="D21" i="2"/>
  <c r="G21" i="2" s="1"/>
  <c r="D22" i="2"/>
  <c r="G22" i="2" s="1"/>
  <c r="D23" i="2"/>
  <c r="G23" i="2" s="1"/>
  <c r="D24" i="2"/>
  <c r="G24" i="2" s="1"/>
  <c r="D30" i="2"/>
  <c r="G30" i="2" s="1"/>
  <c r="D31" i="2"/>
  <c r="G31" i="2" s="1"/>
  <c r="D32" i="2"/>
  <c r="G32" i="2" s="1"/>
  <c r="D33" i="2"/>
  <c r="G33" i="2" s="1"/>
  <c r="D34" i="2"/>
  <c r="G34" i="2" s="1"/>
  <c r="D35" i="2"/>
  <c r="G35" i="2" s="1"/>
  <c r="D36" i="2"/>
  <c r="G36" i="2" s="1"/>
  <c r="D37" i="2"/>
  <c r="G37" i="2" s="1"/>
  <c r="D38" i="2"/>
  <c r="G38" i="2" s="1"/>
  <c r="H3" i="4"/>
  <c r="B125" i="2"/>
  <c r="B64" i="2"/>
  <c r="B25" i="2"/>
  <c r="B39" i="2"/>
  <c r="B15" i="4"/>
  <c r="AH13" i="33" l="1"/>
  <c r="AH15" i="33"/>
  <c r="AK15" i="33" s="1"/>
  <c r="D108" i="28"/>
  <c r="C108" i="28"/>
  <c r="H26" i="4"/>
  <c r="D49" i="4" s="1"/>
  <c r="I9" i="4"/>
  <c r="B9" i="2"/>
  <c r="I4" i="4"/>
  <c r="E137" i="2"/>
  <c r="D25" i="2"/>
  <c r="B10" i="2" s="1"/>
  <c r="D39" i="2"/>
  <c r="B13" i="2" s="1"/>
  <c r="B13" i="25" s="1"/>
  <c r="G39" i="2"/>
  <c r="H39" i="2" s="1"/>
  <c r="G25" i="2"/>
  <c r="H26" i="2" s="1"/>
  <c r="AJ15" i="33" l="1"/>
  <c r="D109" i="28"/>
  <c r="C109" i="28"/>
  <c r="D110" i="28" s="1"/>
  <c r="C110" i="28" s="1"/>
  <c r="C14" i="25"/>
  <c r="C15" i="32" s="1"/>
  <c r="B14" i="32"/>
  <c r="E132" i="2"/>
  <c r="I5" i="4"/>
  <c r="I15" i="4"/>
  <c r="B9" i="4"/>
  <c r="B9" i="25"/>
  <c r="B9" i="32" s="1"/>
  <c r="B10" i="4"/>
  <c r="B10" i="25"/>
  <c r="B10" i="32" s="1"/>
  <c r="B14" i="4"/>
  <c r="C14" i="2"/>
  <c r="C15" i="4" s="1"/>
  <c r="A12" i="22"/>
  <c r="D12" i="22"/>
  <c r="D12" i="16"/>
  <c r="E131" i="2"/>
  <c r="C10" i="2"/>
  <c r="C10" i="4" s="1"/>
  <c r="D111" i="28" l="1"/>
  <c r="C111" i="28" s="1"/>
  <c r="D112" i="28" s="1"/>
  <c r="C112" i="28" s="1"/>
  <c r="D113" i="28" s="1"/>
  <c r="C113" i="28" s="1"/>
  <c r="D114" i="28" s="1"/>
  <c r="C114" i="28" s="1"/>
  <c r="C10" i="25"/>
  <c r="C10" i="32" s="1"/>
  <c r="D115" i="28" l="1"/>
  <c r="C115" i="28"/>
  <c r="E46" i="2"/>
  <c r="E59" i="2"/>
  <c r="E54" i="2"/>
  <c r="E55" i="2"/>
  <c r="E57" i="2"/>
  <c r="E58" i="2"/>
  <c r="E53" i="2"/>
  <c r="H10" i="4"/>
  <c r="E44" i="2"/>
  <c r="E50" i="2"/>
  <c r="E51" i="2"/>
  <c r="E45" i="2"/>
  <c r="E48" i="2"/>
  <c r="D116" i="28" l="1"/>
  <c r="C116" i="28"/>
  <c r="G45" i="2"/>
  <c r="E45" i="25"/>
  <c r="G45" i="25" s="1"/>
  <c r="G57" i="2"/>
  <c r="E57" i="25"/>
  <c r="G57" i="25" s="1"/>
  <c r="G51" i="2"/>
  <c r="E51" i="25"/>
  <c r="G51" i="25" s="1"/>
  <c r="G49" i="2"/>
  <c r="E49" i="25"/>
  <c r="G49" i="25" s="1"/>
  <c r="G55" i="2"/>
  <c r="E55" i="25"/>
  <c r="G55" i="25" s="1"/>
  <c r="G44" i="2"/>
  <c r="E44" i="25"/>
  <c r="G44" i="25" s="1"/>
  <c r="G54" i="2"/>
  <c r="E54" i="25"/>
  <c r="G54" i="25" s="1"/>
  <c r="G50" i="2"/>
  <c r="E50" i="25"/>
  <c r="G50" i="25" s="1"/>
  <c r="G59" i="2"/>
  <c r="E59" i="25"/>
  <c r="G59" i="25" s="1"/>
  <c r="G46" i="2"/>
  <c r="E46" i="25"/>
  <c r="G46" i="25" s="1"/>
  <c r="G53" i="2"/>
  <c r="E53" i="25"/>
  <c r="G53" i="25" s="1"/>
  <c r="G69" i="25"/>
  <c r="H69" i="25" s="1"/>
  <c r="G43" i="2"/>
  <c r="E43" i="25"/>
  <c r="G43" i="25" s="1"/>
  <c r="G48" i="2"/>
  <c r="E48" i="25"/>
  <c r="G48" i="25" s="1"/>
  <c r="G58" i="2"/>
  <c r="E58" i="25"/>
  <c r="G58" i="25" s="1"/>
  <c r="D117" i="28" l="1"/>
  <c r="C117" i="28"/>
  <c r="E130" i="2"/>
  <c r="H119" i="2"/>
  <c r="I3" i="4"/>
  <c r="G60" i="2"/>
  <c r="G61" i="2" s="1"/>
  <c r="E130" i="25"/>
  <c r="H119" i="25"/>
  <c r="G60" i="25"/>
  <c r="D118" i="28" l="1"/>
  <c r="C118" i="28"/>
  <c r="D119" i="28" s="1"/>
  <c r="C119" i="28" s="1"/>
  <c r="I6" i="4"/>
  <c r="I8" i="4" s="1"/>
  <c r="H61" i="2"/>
  <c r="H63" i="2" s="1"/>
  <c r="H65" i="2" s="1"/>
  <c r="H121" i="2" s="1"/>
  <c r="H61" i="25"/>
  <c r="H63" i="25" s="1"/>
  <c r="G61" i="25"/>
  <c r="E129" i="2" l="1"/>
  <c r="D120" i="28"/>
  <c r="C120" i="28"/>
  <c r="I7" i="4"/>
  <c r="I2" i="4"/>
  <c r="I10" i="4"/>
  <c r="H65" i="25"/>
  <c r="H121" i="25" s="1"/>
  <c r="E129" i="25"/>
  <c r="H126" i="2"/>
  <c r="D135" i="2" s="1"/>
  <c r="E135" i="2" s="1"/>
  <c r="E133" i="2"/>
  <c r="A11" i="16" s="1"/>
  <c r="A13" i="16" s="1"/>
  <c r="D15" i="16" l="1"/>
  <c r="A15" i="16"/>
  <c r="A15" i="22"/>
  <c r="D15" i="22"/>
  <c r="D121" i="28"/>
  <c r="C121" i="28"/>
  <c r="H126" i="25"/>
  <c r="D135" i="25" s="1"/>
  <c r="E135" i="25" s="1"/>
  <c r="E133" i="25"/>
  <c r="D11" i="22"/>
  <c r="D13" i="22" s="1"/>
  <c r="A11" i="22"/>
  <c r="A13" i="22" s="1"/>
  <c r="D11" i="16"/>
  <c r="D13" i="16" s="1"/>
  <c r="C182" i="2"/>
  <c r="D134" i="2"/>
  <c r="C181" i="2"/>
  <c r="D136" i="2"/>
  <c r="E136" i="2" s="1"/>
  <c r="A16" i="22" l="1"/>
  <c r="A16" i="16"/>
  <c r="E134" i="2"/>
  <c r="D122" i="28"/>
  <c r="C122" i="28"/>
  <c r="C18" i="4"/>
  <c r="C17" i="4"/>
  <c r="D134" i="25"/>
  <c r="E134" i="25" s="1"/>
  <c r="C181" i="25"/>
  <c r="C17" i="32" s="1"/>
  <c r="D136" i="25"/>
  <c r="E136" i="25" s="1"/>
  <c r="C182" i="25"/>
  <c r="C18" i="32" s="1"/>
  <c r="D14" i="22"/>
  <c r="D14" i="16"/>
  <c r="E138" i="2"/>
  <c r="D16" i="22"/>
  <c r="D16" i="16"/>
  <c r="D139" i="2" l="1"/>
  <c r="D17" i="16"/>
  <c r="A17" i="16"/>
  <c r="A17" i="22"/>
  <c r="D17" i="22"/>
  <c r="A14" i="22"/>
  <c r="A14" i="16"/>
  <c r="D123" i="28"/>
  <c r="C123" i="28"/>
  <c r="E138" i="25"/>
  <c r="D139" i="25" s="1"/>
  <c r="E139" i="25" s="1"/>
  <c r="H128" i="25" s="1"/>
  <c r="H24" i="32" s="1"/>
  <c r="D124" i="28" l="1"/>
  <c r="C124" i="28"/>
  <c r="D149" i="25"/>
  <c r="E149" i="25" s="1"/>
  <c r="D165" i="25"/>
  <c r="E165" i="25" s="1"/>
  <c r="H165" i="25" s="1"/>
  <c r="H32" i="32" s="1"/>
  <c r="D172" i="25"/>
  <c r="E172" i="25" s="1"/>
  <c r="G171" i="25" s="1"/>
  <c r="H38" i="32" s="1"/>
  <c r="D142" i="25"/>
  <c r="E142" i="25" s="1"/>
  <c r="D144" i="25" s="1"/>
  <c r="E144" i="25" s="1"/>
  <c r="H141" i="25" s="1"/>
  <c r="D147" i="25"/>
  <c r="E147" i="25" s="1"/>
  <c r="I50" i="4"/>
  <c r="D125" i="28" l="1"/>
  <c r="C125" i="28"/>
  <c r="H169" i="25"/>
  <c r="H52" i="32" s="1"/>
  <c r="D167" i="25"/>
  <c r="E167" i="25" s="1"/>
  <c r="H167" i="25" s="1"/>
  <c r="H34" i="32" s="1"/>
  <c r="H49" i="32"/>
  <c r="H29" i="32"/>
  <c r="I51" i="4"/>
  <c r="G141" i="25"/>
  <c r="I49" i="4"/>
  <c r="H146" i="25"/>
  <c r="D126" i="28" l="1"/>
  <c r="C126" i="28"/>
  <c r="D127" i="28" s="1"/>
  <c r="C127" i="28" s="1"/>
  <c r="H36" i="32"/>
  <c r="G169" i="25"/>
  <c r="I52" i="4"/>
  <c r="I48" i="4"/>
  <c r="G146" i="25"/>
  <c r="H30" i="32"/>
  <c r="H28" i="32"/>
  <c r="H179" i="25"/>
  <c r="D128" i="28" l="1"/>
  <c r="C128" i="28"/>
  <c r="D129" i="28" s="1"/>
  <c r="C129" i="28" s="1"/>
  <c r="B3" i="27"/>
  <c r="C3" i="29"/>
  <c r="C6" i="29" s="1"/>
  <c r="C7" i="29" s="1"/>
  <c r="H6" i="25"/>
  <c r="H6" i="32" s="1"/>
  <c r="C184" i="25"/>
  <c r="C20" i="32" s="1"/>
  <c r="C183" i="25"/>
  <c r="I54" i="4"/>
  <c r="D130" i="28" l="1"/>
  <c r="C130" i="28"/>
  <c r="B6" i="27"/>
  <c r="D131" i="28" l="1"/>
  <c r="C131" i="28"/>
  <c r="H12" i="32"/>
  <c r="H12" i="4"/>
  <c r="D132" i="28" l="1"/>
  <c r="C132" i="28"/>
  <c r="H12" i="2"/>
  <c r="D133" i="28" l="1"/>
  <c r="C133" i="28"/>
  <c r="H13" i="32"/>
  <c r="B18" i="16"/>
  <c r="A19" i="16" s="1"/>
  <c r="D6" i="16"/>
  <c r="B18" i="22"/>
  <c r="A19" i="22" s="1"/>
  <c r="A23" i="22" s="1"/>
  <c r="D6" i="22"/>
  <c r="J11" i="4"/>
  <c r="I11" i="4" s="1"/>
  <c r="I12" i="4" s="1"/>
  <c r="H12" i="25"/>
  <c r="H13" i="4"/>
  <c r="E12" i="2"/>
  <c r="H13" i="2"/>
  <c r="C139" i="2"/>
  <c r="E139" i="2" s="1"/>
  <c r="D18" i="22" s="1"/>
  <c r="A18" i="16" l="1"/>
  <c r="A23" i="16"/>
  <c r="A31" i="22"/>
  <c r="A29" i="22"/>
  <c r="A26" i="22"/>
  <c r="A25" i="22"/>
  <c r="A27" i="22" s="1"/>
  <c r="D134" i="28"/>
  <c r="C134" i="28"/>
  <c r="A18" i="22"/>
  <c r="H128" i="2"/>
  <c r="H25" i="32" s="1"/>
  <c r="E12" i="25"/>
  <c r="H13" i="25"/>
  <c r="A31" i="16" l="1"/>
  <c r="A25" i="16"/>
  <c r="A26" i="16"/>
  <c r="A29" i="16"/>
  <c r="D135" i="28"/>
  <c r="C135" i="28"/>
  <c r="D48" i="32"/>
  <c r="D165" i="2"/>
  <c r="E165" i="2" s="1"/>
  <c r="H165" i="2" s="1"/>
  <c r="D147" i="2"/>
  <c r="E147" i="2" s="1"/>
  <c r="D19" i="22"/>
  <c r="H24" i="4"/>
  <c r="D19" i="16"/>
  <c r="D18" i="16" s="1"/>
  <c r="D23" i="22"/>
  <c r="D142" i="2"/>
  <c r="E142" i="2" s="1"/>
  <c r="D172" i="2"/>
  <c r="E172" i="2" s="1"/>
  <c r="D23" i="16"/>
  <c r="D149" i="2"/>
  <c r="E149" i="2" s="1"/>
  <c r="H25" i="4"/>
  <c r="D48" i="4" s="1"/>
  <c r="A27" i="16" l="1"/>
  <c r="D136" i="28"/>
  <c r="C136" i="28"/>
  <c r="I27" i="4"/>
  <c r="H51" i="32"/>
  <c r="D54" i="32"/>
  <c r="G37" i="32"/>
  <c r="G28" i="32"/>
  <c r="G36" i="32"/>
  <c r="B56" i="32" s="1"/>
  <c r="H50" i="32"/>
  <c r="G34" i="32"/>
  <c r="B55" i="32" s="1"/>
  <c r="D50" i="32"/>
  <c r="G32" i="32"/>
  <c r="B54" i="32" s="1"/>
  <c r="G30" i="32"/>
  <c r="B52" i="32" s="1"/>
  <c r="G38" i="32"/>
  <c r="G29" i="32"/>
  <c r="B51" i="32" s="1"/>
  <c r="L17" i="4"/>
  <c r="G171" i="2"/>
  <c r="A34" i="16" s="1"/>
  <c r="A35" i="16" s="1"/>
  <c r="H169" i="2"/>
  <c r="D144" i="2"/>
  <c r="I21" i="4"/>
  <c r="H50" i="4"/>
  <c r="D50" i="4"/>
  <c r="G37" i="4"/>
  <c r="I25" i="4"/>
  <c r="H146" i="2"/>
  <c r="D167" i="2"/>
  <c r="E167" i="2" s="1"/>
  <c r="H167" i="2" s="1"/>
  <c r="D29" i="16"/>
  <c r="H32" i="4"/>
  <c r="G32" i="4" s="1"/>
  <c r="D29" i="22"/>
  <c r="A37" i="16" l="1"/>
  <c r="D137" i="28"/>
  <c r="C137" i="28"/>
  <c r="D52" i="32"/>
  <c r="D56" i="32"/>
  <c r="D55" i="32"/>
  <c r="H48" i="32"/>
  <c r="D31" i="22"/>
  <c r="H34" i="4"/>
  <c r="G34" i="4" s="1"/>
  <c r="B55" i="4" s="1"/>
  <c r="D31" i="16"/>
  <c r="I32" i="4"/>
  <c r="D26" i="16"/>
  <c r="D26" i="22"/>
  <c r="G146" i="2"/>
  <c r="H30" i="4"/>
  <c r="B33" i="22"/>
  <c r="B33" i="16"/>
  <c r="B54" i="4"/>
  <c r="B29" i="16"/>
  <c r="B29" i="22"/>
  <c r="H52" i="4"/>
  <c r="I18" i="4"/>
  <c r="H36" i="4"/>
  <c r="G169" i="2"/>
  <c r="D35" i="22"/>
  <c r="D35" i="16"/>
  <c r="I17" i="4"/>
  <c r="O17" i="4" s="1"/>
  <c r="A34" i="22"/>
  <c r="A35" i="22" s="1"/>
  <c r="A37" i="22" s="1"/>
  <c r="D34" i="16"/>
  <c r="D34" i="22"/>
  <c r="H38" i="4"/>
  <c r="G38" i="4" s="1"/>
  <c r="D54" i="4"/>
  <c r="H51" i="4"/>
  <c r="D138" i="28" l="1"/>
  <c r="C138" i="28" s="1"/>
  <c r="B31" i="16"/>
  <c r="B31" i="22"/>
  <c r="D52" i="4"/>
  <c r="G30" i="4"/>
  <c r="D56" i="4"/>
  <c r="G36" i="4"/>
  <c r="D55" i="4"/>
  <c r="H48" i="4"/>
  <c r="B34" i="22"/>
  <c r="B34" i="16"/>
  <c r="D139" i="28" l="1"/>
  <c r="C139" i="28"/>
  <c r="B35" i="22"/>
  <c r="B56" i="4"/>
  <c r="B35" i="16"/>
  <c r="B52" i="4"/>
  <c r="B26" i="22"/>
  <c r="B26" i="16"/>
  <c r="D140" i="28" l="1"/>
  <c r="C140" i="28"/>
  <c r="E144" i="2"/>
  <c r="D141" i="28" l="1"/>
  <c r="C141" i="28" s="1"/>
  <c r="H141" i="2"/>
  <c r="H179" i="2" s="1"/>
  <c r="I22" i="4"/>
  <c r="D142" i="28" l="1"/>
  <c r="C142" i="28"/>
  <c r="D143" i="28" s="1"/>
  <c r="C143" i="28" s="1"/>
  <c r="D25" i="16"/>
  <c r="D27" i="16" s="1"/>
  <c r="G141" i="2"/>
  <c r="H28" i="4"/>
  <c r="D53" i="4" s="1"/>
  <c r="H29" i="4"/>
  <c r="D25" i="22"/>
  <c r="D27" i="22" s="1"/>
  <c r="D51" i="32"/>
  <c r="H14" i="2"/>
  <c r="G14" i="2"/>
  <c r="G14" i="25" s="1"/>
  <c r="B8" i="27"/>
  <c r="B7" i="27" s="1"/>
  <c r="C7" i="27" s="1"/>
  <c r="I23" i="4"/>
  <c r="H49" i="4"/>
  <c r="G29" i="4"/>
  <c r="B51" i="4" s="1"/>
  <c r="D51" i="4"/>
  <c r="G28" i="4"/>
  <c r="D37" i="16"/>
  <c r="C183" i="2"/>
  <c r="C184" i="2"/>
  <c r="D37" i="22"/>
  <c r="H6" i="2"/>
  <c r="D144" i="28" l="1"/>
  <c r="C144" i="28" s="1"/>
  <c r="H40" i="4"/>
  <c r="D57" i="4" s="1"/>
  <c r="C20" i="4"/>
  <c r="H14" i="25"/>
  <c r="H15" i="32" s="1"/>
  <c r="H6" i="4"/>
  <c r="C21" i="4"/>
  <c r="D53" i="32"/>
  <c r="H40" i="32"/>
  <c r="H15" i="4"/>
  <c r="B25" i="16"/>
  <c r="B25" i="22"/>
  <c r="D145" i="28" l="1"/>
  <c r="C145" i="28" s="1"/>
  <c r="H54" i="4"/>
  <c r="I53" i="4" s="1"/>
  <c r="H53" i="4" s="1"/>
  <c r="D57" i="32"/>
  <c r="H54" i="32"/>
  <c r="H53" i="32" l="1"/>
  <c r="D146" i="28"/>
  <c r="C146" i="28"/>
  <c r="D147" i="28" l="1"/>
  <c r="C147" i="28" s="1"/>
  <c r="D148" i="28" s="1"/>
  <c r="C148" i="28" s="1"/>
  <c r="D149" i="28" l="1"/>
  <c r="C149" i="28"/>
  <c r="D150" i="28" l="1"/>
  <c r="C150" i="28"/>
  <c r="D151" i="28" l="1"/>
  <c r="C151" i="28"/>
  <c r="D152" i="28" l="1"/>
  <c r="C152" i="28"/>
  <c r="D153" i="28" l="1"/>
  <c r="C153" i="28" s="1"/>
  <c r="D154" i="28" l="1"/>
  <c r="C154" i="28"/>
  <c r="D155" i="28" l="1"/>
  <c r="C155" i="28"/>
  <c r="D156" i="28" l="1"/>
  <c r="C156" i="28"/>
  <c r="D157" i="28" l="1"/>
  <c r="C157" i="28"/>
  <c r="D158" i="28" l="1"/>
  <c r="C158" i="28" s="1"/>
  <c r="D159" i="28" l="1"/>
  <c r="C159" i="28" s="1"/>
  <c r="D160" i="28" l="1"/>
  <c r="C160" i="28" s="1"/>
  <c r="D161" i="28" l="1"/>
  <c r="C161" i="28"/>
  <c r="D162" i="28" l="1"/>
  <c r="C162" i="28"/>
  <c r="D163" i="28" l="1"/>
  <c r="C163" i="28"/>
  <c r="D164" i="28" l="1"/>
  <c r="C164" i="28"/>
  <c r="D165" i="28" l="1"/>
  <c r="C165" i="28"/>
  <c r="D166" i="28" l="1"/>
  <c r="C166" i="28"/>
  <c r="D167" i="28" l="1"/>
  <c r="C167" i="28"/>
  <c r="D168" i="28" l="1"/>
  <c r="C168" i="28"/>
  <c r="D169" i="28" l="1"/>
  <c r="C169" i="28"/>
  <c r="D170" i="28" l="1"/>
  <c r="C170" i="28"/>
  <c r="D171" i="28" l="1"/>
  <c r="C171" i="28"/>
  <c r="D172" i="28" l="1"/>
  <c r="C172" i="28" s="1"/>
  <c r="D173" i="28" l="1"/>
  <c r="C173" i="28"/>
  <c r="D174" i="28" l="1"/>
  <c r="C174" i="28"/>
  <c r="D175" i="28" s="1"/>
  <c r="C175" i="28" s="1"/>
  <c r="D176" i="28" l="1"/>
  <c r="C176" i="28"/>
  <c r="D177" i="28" l="1"/>
  <c r="C177" i="28" s="1"/>
  <c r="D178" i="28" s="1"/>
  <c r="C178" i="28" s="1"/>
  <c r="D179" i="28" s="1"/>
  <c r="C179" i="28" s="1"/>
  <c r="D180" i="28" l="1"/>
  <c r="C180" i="28"/>
  <c r="D181" i="28" l="1"/>
  <c r="C181" i="28"/>
  <c r="D182" i="28" l="1"/>
  <c r="C182" i="28" s="1"/>
  <c r="D183" i="28" l="1"/>
  <c r="C183" i="28"/>
  <c r="D184" i="28" l="1"/>
  <c r="C184" i="28"/>
  <c r="D185" i="28" l="1"/>
  <c r="C185" i="28"/>
  <c r="D186" i="28" l="1"/>
  <c r="C186" i="28"/>
  <c r="D187" i="28" l="1"/>
  <c r="C187" i="28"/>
  <c r="D188" i="28" l="1"/>
  <c r="C188" i="28"/>
  <c r="D189" i="28" l="1"/>
  <c r="C189" i="28"/>
  <c r="D190" i="28" l="1"/>
  <c r="C190" i="28" s="1"/>
  <c r="D191" i="28" s="1"/>
  <c r="C191" i="28" s="1"/>
  <c r="D192" i="28" l="1"/>
  <c r="C192" i="28"/>
  <c r="D193" i="28" s="1"/>
  <c r="C193" i="28" s="1"/>
  <c r="D194" i="28" l="1"/>
  <c r="C194" i="28"/>
  <c r="D195" i="28" l="1"/>
  <c r="C195" i="28"/>
  <c r="D196" i="28" s="1"/>
  <c r="C196" i="28" s="1"/>
  <c r="D197" i="28" l="1"/>
  <c r="C197" i="28"/>
  <c r="D198" i="28" l="1"/>
  <c r="C198" i="28"/>
  <c r="D199" i="28" s="1"/>
  <c r="C199" i="28" s="1"/>
  <c r="D200" i="28" l="1"/>
  <c r="C200" i="28"/>
  <c r="D201" i="28" l="1"/>
  <c r="C201" i="28"/>
  <c r="D202" i="28" l="1"/>
  <c r="C202" i="28"/>
  <c r="D203" i="28" s="1"/>
  <c r="C203" i="28" s="1"/>
  <c r="D204" i="28" l="1"/>
  <c r="C204" i="28" s="1"/>
  <c r="D205" i="28" l="1"/>
  <c r="C205" i="28"/>
  <c r="D206" i="28" l="1"/>
  <c r="C206" i="28"/>
  <c r="D207" i="28" s="1"/>
  <c r="C207" i="28" s="1"/>
  <c r="D208" i="28" s="1"/>
  <c r="C208" i="28" s="1"/>
  <c r="D209" i="28" l="1"/>
  <c r="C209" i="28"/>
  <c r="D210" i="28" l="1"/>
  <c r="C210" i="28"/>
  <c r="D211" i="28" l="1"/>
  <c r="C211" i="28"/>
  <c r="D212" i="28" l="1"/>
  <c r="C212" i="28"/>
  <c r="D213" i="28" l="1"/>
  <c r="C213" i="28"/>
  <c r="D214" i="28" l="1"/>
  <c r="C214" i="28"/>
  <c r="D215" i="28" l="1"/>
  <c r="C215" i="28"/>
  <c r="D216" i="28" l="1"/>
  <c r="C216" i="28"/>
  <c r="D217" i="28" l="1"/>
  <c r="C217" i="28" s="1"/>
  <c r="D218" i="28" l="1"/>
  <c r="C218" i="28"/>
  <c r="D219" i="28" s="1"/>
  <c r="C219" i="28" s="1"/>
  <c r="D220" i="28" l="1"/>
  <c r="C220" i="28"/>
  <c r="D221" i="28" l="1"/>
  <c r="C221"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tc={8FD50AA7-6741-874E-8573-AF62B2BC95C5}</author>
  </authors>
  <commentList>
    <comment ref="B18" authorId="0" shapeId="0" xr:uid="{8FD50AA7-6741-874E-8573-AF62B2BC95C5}">
      <text>
        <t xml:space="preserve">[Threaded comment]
Your version of Excel allows you to read this threaded comment; however, any edits to it will get removed if the file is opened in a newer version of Excel. Learn more: https://go.microsoft.com/fwlink/?linkid=870924
Comment:
    Please use the current PBW template to find an updated escalation factor based on Base Date, Bid Date, and more current ENR Index values published after this file's PBW Revision Date. This allows a quick one cell and one value edit to update a previous budget estimate without having to recreate the entire PBW again, assuming all that has changed is inflation.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tc={31C84E90-F4CD-294C-821E-47C5A2CC8CCE}</author>
  </authors>
  <commentList>
    <comment ref="H1" authorId="0" shapeId="0" xr:uid="{31C84E90-F4CD-294C-821E-47C5A2CC8CCE}">
      <text>
        <t>[Threaded comment]
Your version of Excel allows you to read this threaded comment; however, any edits to it will get removed if the file is opened in a newer version of Excel. Learn more: https://go.microsoft.com/fwlink/?linkid=870924
Comment:
    This worksheet will auto-complete based on Project Budget Worksheet (PBW).</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tc={E8F6C0EA-70AF-AC4D-81F2-ED8AFAE733FA}</author>
    <author>tc={49EE9863-3921-5042-AACF-7FC75CF57331}</author>
    <author>tc={57E0D122-ECE5-C842-9EF1-6A2A6BE88782}</author>
    <author>tc={383A6CEB-85CA-6340-A4C5-26D9EEE32A28}</author>
    <author>tc={26E290B8-C5B6-E54A-8C74-9D24B8E67D2F}</author>
    <author>tc={4E56AEB0-CB6C-674F-ABB1-195AA4BAC456}</author>
    <author>tc={08BE5BDF-26E1-A345-B03E-46AABCDC96FB}</author>
    <author>tc={447C04C3-3E99-C542-A0F4-983FBCDAA2A6}</author>
    <author>tc={589A3024-3C7A-4843-938A-F1FDBCC2FD91}</author>
    <author>tc={9B2774A2-6D0F-B64F-BAFE-BFA6D62E54AE}</author>
    <author>tc={693A8C3A-C066-DB46-83E4-8B70525F557E}</author>
    <author>tc={110EEB31-87B5-8E4E-9140-4CEEFC8D74E8}</author>
    <author>tc={6725D6D0-640D-BE48-98ED-0F32821E2CCF}</author>
    <author>tc={7CA00D11-5D5E-204C-A9F4-DE676796A8A6}</author>
    <author>tc={96A0398A-3DC9-6C4D-86A1-426701C19D4D}</author>
    <author>tc={788E6D3A-38C8-0746-8834-79400DB08298}</author>
    <author>tc={F6B5AAB9-097B-D849-BEFE-7ECECD9D006E}</author>
    <author>tc={037F2A30-7A2B-AC42-B82E-6C246E46B0ED}</author>
    <author>tc={2ADE75A9-B0EC-824C-AA1A-03C079A1F1D0}</author>
    <author>tc={408F65E1-B0E8-174C-9F4B-9492376CF337}</author>
    <author>tc={16203EF7-DEB7-FB48-8FE3-D7EB1A56C110}</author>
    <author>tc={E1C987B6-E84D-5245-8DD3-3011A4CFD26A}</author>
  </authors>
  <commentList>
    <comment ref="H3" authorId="0" shapeId="0" xr:uid="{E8F6C0EA-70AF-AC4D-81F2-ED8AFAE733FA}">
      <text>
        <t>[Threaded comment]
Your version of Excel allows you to read this threaded comment; however, any edits to it will get removed if the file is opened in a newer version of Excel. Learn more: https://go.microsoft.com/fwlink/?linkid=870924
Comment:
    The contents in this cell should be hard coded to the date the PBW is finalized. Simply overwrite the formula with the actual date entry (i.e. 04/01/2022).</t>
      </text>
    </comment>
    <comment ref="B4" authorId="1" shapeId="0" xr:uid="{49EE9863-3921-5042-AACF-7FC75CF57331}">
      <text>
        <t>[Threaded comment]
Your version of Excel allows you to read this threaded comment; however, any edits to it will get removed if the file is opened in a newer version of Excel. Learn more: https://go.microsoft.com/fwlink/?linkid=870924
Comment:
    Intended to contain the UW Institution Name (i.e. UNIVERSITY OF WISCONSIN-INSTITUTION NAME).</t>
      </text>
    </comment>
    <comment ref="B5" authorId="2" shapeId="0" xr:uid="{57E0D122-ECE5-C842-9EF1-6A2A6BE88782}">
      <text>
        <t>[Threaded comment]
Your version of Excel allows you to read this threaded comment; however, any edits to it will get removed if the file is opened in a newer version of Excel. Learn more: https://go.microsoft.com/fwlink/?linkid=870924
Comment:
    AA = All Agency
IS = Instructional Space
MFR = Minor Facilities Renewal
MP = Major Project
P&amp;D = Planning &amp; Design
SP = Small Project
X = Unspecified</t>
      </text>
    </comment>
    <comment ref="B6" authorId="3" shapeId="0" xr:uid="{383A6CEB-85CA-6340-A4C5-26D9EEE32A28}">
      <text>
        <t>[Threaded comment]
Your version of Excel allows you to read this threaded comment; however, any edits to it will get removed if the file is opened in a newer version of Excel. Learn more: https://go.microsoft.com/fwlink/?linkid=870924
Comment:
    Intended to contain the Project Name, Project No., Alternate or Option No., and date reference of publication.</t>
      </text>
    </comment>
    <comment ref="H9" authorId="4" shapeId="0" xr:uid="{26E290B8-C5B6-E54A-8C74-9D24B8E67D2F}">
      <text>
        <t>[Threaded comment]
Your version of Excel allows you to read this threaded comment; however, any edits to it will get removed if the file is opened in a newer version of Excel. Learn more: https://go.microsoft.com/fwlink/?linkid=870924
Comment:
    Base Date should be on or prior to revision date of Project Budget Worksheet template to maximize the actual inflation included in the budget estimate vs. estimated inflation.
Cell has conditional formatting to highlight RED if Base Date &gt; PBW Revision Date or if Base Date is more than 4 years old, highlight YELLOW if the Base Date is between 2-4 years old.</t>
      </text>
    </comment>
    <comment ref="H12" authorId="5" shapeId="0" xr:uid="{4E56AEB0-CB6C-674F-ABB1-195AA4BAC456}">
      <text>
        <t>[Threaded comment]
Your version of Excel allows you to read this threaded comment; however, any edits to it will get removed if the file is opened in a newer version of Excel. Learn more: https://go.microsoft.com/fwlink/?linkid=870924
Comment:
    This value will default to the Escalation (Calculated) value above based on the Base Date and Bid Date values embedded in the ENR Index worksheet included in this workbook template. 
This value can be manually overwritten using the ENR Index values from a future Project Budget Worksheet edition to correct inflation value calculations and estimates after the initial Project Budget Worksheet creation and submittal.</t>
      </text>
    </comment>
    <comment ref="H14" authorId="6" shapeId="0" xr:uid="{08BE5BDF-26E1-A345-B03E-46AABCDC96FB}">
      <text>
        <t>[Threaded comment]
Your version of Excel allows you to read this threaded comment; however, any edits to it will get removed if the file is opened in a newer version of Excel. Learn more: https://go.microsoft.com/fwlink/?linkid=870924
Comment:
    Occupancy Date will autocalculate based on project size and DFD guidance on project duration based on project size.</t>
      </text>
    </comment>
    <comment ref="F41" authorId="7" shapeId="0" xr:uid="{447C04C3-3E99-C542-A0F4-983FBCDAA2A6}">
      <text>
        <t>[Threaded comment]
Your version of Excel allows you to read this threaded comment; however, any edits to it will get removed if the file is opened in a newer version of Excel. Learn more: https://go.microsoft.com/fwlink/?linkid=870924
Comment:
    DFD Standard Trade Unit Costs: Automatically updated based on July 2011 ENR Value and the PBW Base Index Value defined above.</t>
      </text>
    </comment>
    <comment ref="G69" authorId="8" shapeId="0" xr:uid="{589A3024-3C7A-4843-938A-F1FDBCC2FD91}">
      <text>
        <t>[Threaded comment]
Your version of Excel allows you to read this threaded comment; however, any edits to it will get removed if the file is opened in a newer version of Excel. Learn more: https://go.microsoft.com/fwlink/?linkid=870924
Comment:
    DFD Standard Demolition Cost: Automatically updated based on July 2018 ENR Value and the PBW Base Index Value defined above.</t>
      </text>
    </comment>
    <comment ref="C134" authorId="9" shapeId="0" xr:uid="{9B2774A2-6D0F-B64F-BAFE-BFA6D62E54AE}">
      <text>
        <t>[Threaded comment]
Your version of Excel allows you to read this threaded comment; however, any edits to it will get removed if the file is opened in a newer version of Excel. Learn more: https://go.microsoft.com/fwlink/?linkid=870924
Comment:
    Default to 10%, but may range above or below that value dependent on size, complexity, and development status of project. Use Designer's value from feasibility study when possible. Value should be 0% if Design Report is complete.</t>
      </text>
    </comment>
    <comment ref="C135" authorId="10" shapeId="0" xr:uid="{693A8C3A-C066-DB46-83E4-8B70525F557E}">
      <text>
        <t xml:space="preserve">[Threaded comment]
Your version of Excel allows you to read this threaded comment; however, any edits to it will get removed if the file is opened in a newer version of Excel. Learn more: https://go.microsoft.com/fwlink/?linkid=870924
Comment:
    Indirect project costs, project specific costs that do not result in an asset. Use Desiger's value from Pre-Design Report when necessary (i.e. when pre-design values that are used in PBW do not already include General conditions factors). </t>
      </text>
    </comment>
    <comment ref="C136" authorId="11" shapeId="0" xr:uid="{110EEB31-87B5-8E4E-9140-4CEEFC8D74E8}">
      <text>
        <t xml:space="preserve">[Threaded comment]
Your version of Excel allows you to read this threaded comment; however, any edits to it will get removed if the file is opened in a newer version of Excel. Learn more: https://go.microsoft.com/fwlink/?linkid=870924
Comment:
    Indirect non-project costs. Typically ranges from 5% to 15%. Use Desiger's value from Pre-Design Report when necessary (i.e. when pre-design values that are used in PBW do not already include OH&amp;P factors). </t>
      </text>
    </comment>
    <comment ref="C142" authorId="12" shapeId="0" xr:uid="{6725D6D0-640D-BE48-98ED-0F32821E2CCF}">
      <text>
        <t>[Threaded comment]
Your version of Excel allows you to read this threaded comment; however, any edits to it will get removed if the file is opened in a newer version of Excel. Learn more: https://go.microsoft.com/fwlink/?linkid=870924
Comment:
    New Construction Design Fee Guidance
                      Project Complexity
Construction Cost     HIGH |  AVG  |  LOW
≦ $100K:            (14.2% | 13.6% | 12.8%)
$100K - $500K:      (14.1% | 13.3% | 12.3%)
$500K - $1M:        (11.6% | 10.9% |  9.9%)
$1M - $2.5M:        (10.6% |  9.8% |  8.8%)
$2.5M - $5M:        ( 9.2% |  8.3% |  7.3%)
$5M - $30M:         ( 8.3% |  7.4% |  6.3%)
$30M - $50M:        ( 7.0% |  6.2% |  5.3%)
$50M+:              ( 6.1% |  5.5% |  4.7%)
Renovation &amp; Remodeling Design Fee Guidance
                      Project Complexity
Construction Cost     HIGH |  AVG  |  LOW
≦ $100K:            (16.0% | 14.0% | 13.0%)
$100K - $500K:      (14.3% | 13.5% | 12.5%)
$500K - $1M:        (12.0% | 11.1% | 10.1%)
$1M - $2.5M:        (10.9% |  9.9% |  8.9%)
$2.5M - $5M:        ( 9.4% |  8.5% |  7.4%)
$5M - $30M:         ( 8.4% |  7.5% |  6.4%)
$30M - $50M:        ( 7.1% |  6.3% |  5.4%)
$50M+:              ( 6.2% |  5.6% |  4.8%)
If programming is not done by the agency, or if extensive program verification is required, an additional 0.1% to 1.5% should be added to the fee guidance shown above. 
High Complexity: Most complex projects both in design and detail include buildings of specialized architectural character, memorial, historic or monumental nature requiring special study or analysis and/or involve complex programs, mechanical systems, code requirements, etc. Project types include auditorium/theaters, communication buildings, extended care facilities, complex engineering projects, laboratories, historical restoration, and museums.
Average Complexity: Project types include readiness centers, building systems, maintenance shops, firing ranges, recreational facilities, teaching laboratories, medical offices &amp; clinics, laundry facilities, office buildings, site utilities, university centers, residence halls, and child day care facilities.
Low Complexity: Projects are simple or repetitive construction without any great degree of special finish or design effort. May include projects where equipment purchase comprises a large portion of the construction budget. Project types include asbestos removal, building envelope repairs, roofing, life safety compliance, demolition, minimum security correctional centers, park shelters, warehouse, radio/television towers, service garage, and site work.</t>
      </text>
    </comment>
    <comment ref="E143" authorId="13" shapeId="0" xr:uid="{7CA00D11-5D5E-204C-A9F4-DE676796A8A6}">
      <text>
        <t>[Threaded comment]
Your version of Excel allows you to read this threaded comment; however, any edits to it will get removed if the file is opened in a newer version of Excel. Learn more: https://go.microsoft.com/fwlink/?linkid=870924
Comment:
    Data Entry in this cell will override the calculated Fee in the Row above based on the % of Construction Cost. This cell can be used for Fees only type projects (i.e. Feasibility Studies, Master Plans, etc.) or when the user needs to match a specific $ amount that is easier to enter than to calculate.</t>
      </text>
    </comment>
    <comment ref="C144" authorId="14" shapeId="0" xr:uid="{96A0398A-3DC9-6C4D-86A1-426701C19D4D}">
      <text>
        <t>[Threaded comment]
Your version of Excel allows you to read this threaded comment; however, any edits to it will get removed if the file is opened in a newer version of Excel. Learn more: https://go.microsoft.com/fwlink/?linkid=870924
Comment:
    Normally 4% of A/E fee for Major Projects. Includes survey, geotechnical, and plan review.</t>
      </text>
    </comment>
    <comment ref="C147" authorId="15" shapeId="0" xr:uid="{788E6D3A-38C8-0746-8834-79400DB08298}">
      <text>
        <t>[Threaded comment]
Your version of Excel allows you to read this threaded comment; however, any edits to it will get removed if the file is opened in a newer version of Excel. Learn more: https://go.microsoft.com/fwlink/?linkid=870924
Comment:
    Ranges from 1/2% to 1-1/4% for Major Projects.</t>
      </text>
    </comment>
    <comment ref="C149" authorId="16" shapeId="0" xr:uid="{F6B5AAB9-097B-D849-BEFE-7ECECD9D006E}">
      <text>
        <t>[Threaded comment]
Your version of Excel allows you to read this threaded comment; however, any edits to it will get removed if the file is opened in a newer version of Excel. Learn more: https://go.microsoft.com/fwlink/?linkid=870924
Comment:
    Level 1 = 0.00% - 0.25%
Level 2 = 0.15% - 1.00%</t>
      </text>
    </comment>
    <comment ref="E150" authorId="17" shapeId="0" xr:uid="{037F2A30-7A2B-AC42-B82E-6C246E46B0ED}">
      <text>
        <t>[Threaded comment]
Your version of Excel allows you to read this threaded comment; however, any edits to it will get removed if the file is opened in a newer version of Excel. Learn more: https://go.microsoft.com/fwlink/?linkid=870924
Comment:
    Type  I: $50,000 - $100,000 Type II: $30,000 - $50,000</t>
      </text>
    </comment>
    <comment ref="C157" authorId="18" shapeId="0" xr:uid="{2ADE75A9-B0EC-824C-AA1A-03C079A1F1D0}">
      <text>
        <t>[Threaded comment]
Your version of Excel allows you to read this threaded comment; however, any edits to it will get removed if the file is opened in a newer version of Excel. Learn more: https://go.microsoft.com/fwlink/?linkid=870924
Comment:
    This Design Fee is a percent of the OFCI Furnishings, Fixtures, &amp; Equipment Cost Estimate. Percentages will vary based on complexity of project, FF&amp;E items, and services desired.
≤4% of FF&amp;E Budget: Selection and specification only.
≤10% of FF&amp;E Budget: Selection, specification, layout/design, and procurement assistance. 
REQUIRES DATA ENTRY IN ONE OR MORE OF THE FIVE ROWS IMMEDIATELY BELOW THIS ROW.</t>
      </text>
    </comment>
    <comment ref="C165" authorId="19" shapeId="0" xr:uid="{408F65E1-B0E8-174C-9F4B-9492376CF337}">
      <text>
        <t>[Threaded comment]
Your version of Excel allows you to read this threaded comment; however, any edits to it will get removed if the file is opened in a newer version of Excel. Learn more: https://go.microsoft.com/fwlink/?linkid=870924
Comment:
    Percent of Total Construction Cost. 15% default for all projects.</t>
      </text>
    </comment>
    <comment ref="E167" authorId="20" shapeId="0" xr:uid="{16203EF7-DEB7-FB48-8FE3-D7EB1A56C110}">
      <text>
        <t>[Threaded comment]
Your version of Excel allows you to read this threaded comment; however, any edits to it will get removed if the file is opened in a newer version of Excel. Learn more: https://go.microsoft.com/fwlink/?linkid=870924
Comment:
    4% of (Total Construction Cost + Project Contingency).</t>
      </text>
    </comment>
    <comment ref="C172" authorId="21" shapeId="0" xr:uid="{E1C987B6-E84D-5245-8DD3-3011A4CFD26A}">
      <text>
        <t>[Threaded comment]
Your version of Excel allows you to read this threaded comment; however, any edits to it will get removed if the file is opened in a newer version of Excel. Learn more: https://go.microsoft.com/fwlink/?linkid=870924
Comment:
    Lump sum percentage of construction value + the itemized costs in the five rows below this row. Percentages will vary based on project type, how much existing FF&amp;E will be salvaged, etc. 
     - Typical project 5-10% 
     - Laboratory buildings 10-15%</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tc={FA364F24-0F4A-A94F-B31F-D2A80431623B}</author>
  </authors>
  <commentList>
    <comment ref="H1" authorId="0" shapeId="0" xr:uid="{FA364F24-0F4A-A94F-B31F-D2A80431623B}">
      <text>
        <t>[Threaded comment]
Your version of Excel allows you to read this threaded comment; however, any edits to it will get removed if the file is opened in a newer version of Excel. Learn more: https://go.microsoft.com/fwlink/?linkid=870924
Comment:
    This worksheet will auto-complete based on Project Budget Worksheet (PBW).</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tc={86542E4D-466F-1D43-8AA7-E03BD517DCF5}</author>
  </authors>
  <commentList>
    <comment ref="H1" authorId="0" shapeId="0" xr:uid="{86542E4D-466F-1D43-8AA7-E03BD517DCF5}">
      <text>
        <t>[Threaded comment]
Your version of Excel allows you to read this threaded comment; however, any edits to it will get removed if the file is opened in a newer version of Excel. Learn more: https://go.microsoft.com/fwlink/?linkid=870924
Comment:
    This worksheet will auto-complete based on Project Budget Worksheet (PBW).</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tc={11DDF280-7EC0-4E45-8240-5177D2392EDE}</author>
    <author>tc={FBDBE5AA-9E3A-A14B-84E2-79FC48CF0CBD}</author>
  </authors>
  <commentList>
    <comment ref="C3" authorId="0" shapeId="0" xr:uid="{11DDF280-7EC0-4E45-8240-5177D2392EDE}">
      <text>
        <t>[Threaded comment]
Your version of Excel allows you to read this threaded comment; however, any edits to it will get removed if the file is opened in a newer version of Excel. Learn more: https://go.microsoft.com/fwlink/?linkid=870924
Comment:
    This value will auto-complete based on PBW_NoInflationWorksheet.</t>
      </text>
    </comment>
    <comment ref="C4" authorId="1" shapeId="0" xr:uid="{FBDBE5AA-9E3A-A14B-84E2-79FC48CF0CBD}">
      <text>
        <t>[Threaded comment]
Your version of Excel allows you to read this threaded comment; however, any edits to it will get removed if the file is opened in a newer version of Excel. Learn more: https://go.microsoft.com/fwlink/?linkid=870924
Comment:
    This value will auto-complete based on Project Budget Worksheet (PBW).</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tc={F53B111D-F1EA-1C4B-B114-F199C84D472E}</author>
    <author>tc={E4A38D81-C874-BE48-9528-780AB12F2522}</author>
    <author>tc={889A9625-E221-9E4D-AB8F-CC0880916DB6}</author>
    <author>tc={E9F4FA1D-0A93-5C4C-B302-36EB949EE1E7}</author>
    <author>tc={261460B8-8540-CF44-BBF9-BB48AF5C767A}</author>
    <author>tc={39709B87-F2CC-334D-A2A5-FCAA7581238A}</author>
    <author>tc={422A518A-BDF2-5A40-AAB5-A9157313F1A0}</author>
  </authors>
  <commentList>
    <comment ref="B3" authorId="0" shapeId="0" xr:uid="{F53B111D-F1EA-1C4B-B114-F199C84D472E}">
      <text>
        <t>[Threaded comment]
Your version of Excel allows you to read this threaded comment; however, any edits to it will get removed if the file is opened in a newer version of Excel. Learn more: https://go.microsoft.com/fwlink/?linkid=870924
Comment:
    This value will auto-complete based on PBW_NoInflationWorksheet.</t>
      </text>
    </comment>
    <comment ref="B4" authorId="1" shapeId="0" xr:uid="{E4A38D81-C874-BE48-9528-780AB12F2522}">
      <text>
        <t>[Threaded comment]
Your version of Excel allows you to read this threaded comment; however, any edits to it will get removed if the file is opened in a newer version of Excel. Learn more: https://go.microsoft.com/fwlink/?linkid=870924
Comment:
    This value will auto-complete based on Project Budget Worksheet (PBW).</t>
      </text>
    </comment>
    <comment ref="C4" authorId="2" shapeId="0" xr:uid="{889A9625-E221-9E4D-AB8F-CC0880916DB6}">
      <text>
        <t>[Threaded comment]
Your version of Excel allows you to read this threaded comment; however, any edits to it will get removed if the file is opened in a newer version of Excel. Learn more: https://go.microsoft.com/fwlink/?linkid=870924
Comment:
    This value will auto-complete based on Project Budget Worksheet (PBW).</t>
      </text>
    </comment>
    <comment ref="B5" authorId="3" shapeId="0" xr:uid="{E9F4FA1D-0A93-5C4C-B302-36EB949EE1E7}">
      <text>
        <t>[Threaded comment]
Your version of Excel allows you to read this threaded comment; however, any edits to it will get removed if the file is opened in a newer version of Excel. Learn more: https://go.microsoft.com/fwlink/?linkid=870924
Comment:
    This value will auto-complete based on Project Budget Worksheet (PBW).</t>
      </text>
    </comment>
    <comment ref="C5" authorId="4" shapeId="0" xr:uid="{261460B8-8540-CF44-BBF9-BB48AF5C767A}">
      <text>
        <t>[Threaded comment]
Your version of Excel allows you to read this threaded comment; however, any edits to it will get removed if the file is opened in a newer version of Excel. Learn more: https://go.microsoft.com/fwlink/?linkid=870924
Comment:
    This value will auto-complete based on Project Budget Worksheet (PBW).</t>
      </text>
    </comment>
    <comment ref="B6" authorId="5" shapeId="0" xr:uid="{39709B87-F2CC-334D-A2A5-FCAA7581238A}">
      <text>
        <t>[Threaded comment]
Your version of Excel allows you to read this threaded comment; however, any edits to it will get removed if the file is opened in a newer version of Excel. Learn more: https://go.microsoft.com/fwlink/?linkid=870924
Comment:
    This value will auto-complete based on Project Budget Worksheet (PBW).</t>
      </text>
    </comment>
    <comment ref="B8" authorId="6" shapeId="0" xr:uid="{422A518A-BDF2-5A40-AAB5-A9157313F1A0}">
      <text>
        <t>[Threaded comment]
Your version of Excel allows you to read this threaded comment; however, any edits to it will get removed if the file is opened in a newer version of Excel. Learn more: https://go.microsoft.com/fwlink/?linkid=870924
Comment:
    This value will auto-complete based on Project Budget Worksheet (PBW).</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tc={0D3BCD2F-46D2-B044-8C85-F730AA7FE02A}</author>
    <author>tc={22B46F9E-F69B-9B48-B66F-6ABC2055377B}</author>
    <author>tc={9D7049F7-E8DB-944E-A72E-5C65561186DF}</author>
    <author>tc={A1B2B75F-A08B-7D49-BF6F-F5EBFB69E006}</author>
    <author>tc={8227AF3A-8127-0C4A-9B44-38DEF30BAA12}</author>
    <author>tc={E3589802-CE0B-B741-9456-BDC617ED50A5}</author>
    <author>tc={17A85E52-D7FF-ED4F-9ACA-93DFBAEA535C}</author>
  </authors>
  <commentList>
    <comment ref="B4" authorId="0" shapeId="0" xr:uid="{0D3BCD2F-46D2-B044-8C85-F730AA7FE02A}">
      <text>
        <t>[Threaded comment]
Your version of Excel allows you to read this threaded comment; however, any edits to it will get removed if the file is opened in a newer version of Excel. Learn more: https://go.microsoft.com/fwlink/?linkid=870924
Comment:
    Intended that the modified Inflation Factor entered here would be determined and calculated based on a later PBW Revision template with a more current and updated ENR worksheet content. The ENR worksheet content included in this file is frozen in time.</t>
      </text>
    </comment>
    <comment ref="B5" authorId="1" shapeId="0" xr:uid="{22B46F9E-F69B-9B48-B66F-6ABC2055377B}">
      <text>
        <t>[Threaded comment]
Your version of Excel allows you to read this threaded comment; however, any edits to it will get removed if the file is opened in a newer version of Excel. Learn more: https://go.microsoft.com/fwlink/?linkid=870924
Comment:
    Primarily intended to quickly see differences in budget estimates for proposed accelerated schedules.</t>
      </text>
    </comment>
    <comment ref="B6" authorId="2" shapeId="0" xr:uid="{9D7049F7-E8DB-944E-A72E-5C65561186DF}">
      <text>
        <t>[Threaded comment]
Your version of Excel allows you to read this threaded comment; however, any edits to it will get removed if the file is opened in a newer version of Excel. Learn more: https://go.microsoft.com/fwlink/?linkid=870924
Comment:
    Although it is possible to make duplicates of the PBW worksheet in the same file to explore alternatives and options, the PBW_Summary worksheet will only map to the original PBW worksheet content.</t>
      </text>
    </comment>
    <comment ref="B10" authorId="3" shapeId="0" xr:uid="{A1B2B75F-A08B-7D49-BF6F-F5EBFB69E006}">
      <text>
        <t>[Threaded comment]
Your version of Excel allows you to read this threaded comment; however, any edits to it will get removed if the file is opened in a newer version of Excel. Learn more: https://go.microsoft.com/fwlink/?linkid=870924
Comment:
    Data source found at &lt;https://www.enr.com/economics/historical_indices/building_cost_index_history&gt;, but requires user account to access data content.</t>
      </text>
    </comment>
    <comment ref="B11" authorId="4" shapeId="0" xr:uid="{8227AF3A-8127-0C4A-9B44-38DEF30BAA12}">
      <text>
        <t>[Threaded comment]
Your version of Excel allows you to read this threaded comment; however, any edits to it will get removed if the file is opened in a newer version of Excel. Learn more: https://go.microsoft.com/fwlink/?linkid=870924
Comment:
    Modified by UWSA to extend possible Bid Date range as DFD’s standard template only allowed Bid Dates through June 2026.</t>
      </text>
    </comment>
    <comment ref="B13" authorId="5" shapeId="0" xr:uid="{E3589802-CE0B-B741-9456-BDC617ED50A5}">
      <text>
        <t>[Threaded comment]
Your version of Excel allows you to read this threaded comment; however, any edits to it will get removed if the file is opened in a newer version of Excel. Learn more: https://go.microsoft.com/fwlink/?linkid=870924
Comment:
    Modeled after DFD’s Inflation Estimation Tool worksheet, but allows multiple Base Dates and extends range of possible Bid Dates.</t>
      </text>
    </comment>
    <comment ref="B17" authorId="6" shapeId="0" xr:uid="{17A85E52-D7FF-ED4F-9ACA-93DFBAEA535C}">
      <text>
        <t xml:space="preserve">[Threaded comment]
Your version of Excel allows you to read this threaded comment; however, any edits to it will get removed if the file is opened in a newer version of Excel. Learn more: https://go.microsoft.com/fwlink/?linkid=870924
Comment:
    PBW Revision Date and associated fields primarily created and generated to facilitate easy template updates without having to manually edit each worksheet in the template for a revision date. </t>
      </text>
    </comment>
  </commentList>
</comments>
</file>

<file path=xl/sharedStrings.xml><?xml version="1.0" encoding="utf-8"?>
<sst xmlns="http://schemas.openxmlformats.org/spreadsheetml/2006/main" count="1003" uniqueCount="444">
  <si>
    <t>Trade Cost</t>
  </si>
  <si>
    <t>Category Cost</t>
  </si>
  <si>
    <t>- Construction Testing</t>
  </si>
  <si>
    <t>- LEED™ certification</t>
  </si>
  <si>
    <t>XXX</t>
  </si>
  <si>
    <t>- Testing &amp; Balancing</t>
  </si>
  <si>
    <t>- EIS/EIA consultant</t>
  </si>
  <si>
    <t>Academic – Multi Use</t>
  </si>
  <si>
    <t>Fine Arts Auditorium</t>
  </si>
  <si>
    <t>Laboratory Space</t>
  </si>
  <si>
    <t>Library</t>
  </si>
  <si>
    <t>For offices as part of other buildings with higher costs/ GSF use average of office cost and the other space type cost</t>
  </si>
  <si>
    <t>Residence Hall</t>
  </si>
  <si>
    <t>Student Union</t>
  </si>
  <si>
    <t>Pole Barn, includes fixed equipment</t>
  </si>
  <si>
    <t>Pole Barn, unheated</t>
  </si>
  <si>
    <t>Parking</t>
  </si>
  <si>
    <t>500 stalls</t>
  </si>
  <si>
    <t>100 stalls</t>
  </si>
  <si>
    <t>200 stalls</t>
  </si>
  <si>
    <t xml:space="preserve">THE UNIVERSITY OF WISCONSIN SYSTEM  </t>
  </si>
  <si>
    <t/>
  </si>
  <si>
    <t xml:space="preserve">PROJECT TITLE:  </t>
  </si>
  <si>
    <t>TOT PROJ COST EST:</t>
  </si>
  <si>
    <t>NEW BUILDING AREA</t>
  </si>
  <si>
    <t xml:space="preserve"> ASF New Const </t>
  </si>
  <si>
    <t xml:space="preserve"> GSF New Const </t>
  </si>
  <si>
    <t>REMODELING AREA</t>
  </si>
  <si>
    <t>Escalation Factor:</t>
  </si>
  <si>
    <t xml:space="preserve"> GSF Remodeling</t>
  </si>
  <si>
    <t xml:space="preserve"> GSF Total Bldg</t>
  </si>
  <si>
    <t>Space Category</t>
  </si>
  <si>
    <t>ASF</t>
  </si>
  <si>
    <t>Eff</t>
  </si>
  <si>
    <t>GSF</t>
  </si>
  <si>
    <t>$/GSF</t>
  </si>
  <si>
    <t>Subtotal: $</t>
  </si>
  <si>
    <t>Trade Category</t>
  </si>
  <si>
    <t>General</t>
  </si>
  <si>
    <t xml:space="preserve">  -Surface Treatment</t>
  </si>
  <si>
    <t xml:space="preserve">  -Minor</t>
  </si>
  <si>
    <t xml:space="preserve">  -Partial</t>
  </si>
  <si>
    <t xml:space="preserve">  -Complete</t>
  </si>
  <si>
    <t>Plumbing</t>
  </si>
  <si>
    <t xml:space="preserve">  -Special Laboratory Needs</t>
  </si>
  <si>
    <t>Electric</t>
  </si>
  <si>
    <t>TOTAL  PROJECT  BUDGET  ESTIMATE</t>
  </si>
  <si>
    <t>NOTES:</t>
  </si>
  <si>
    <t>Heat/Vent/Air Cond</t>
  </si>
  <si>
    <t>NEW CONSTRUCTION BY SPACE TYPE</t>
  </si>
  <si>
    <t>REMODELING BY SPACE TYPE</t>
  </si>
  <si>
    <t>REMODELING BY TRADE</t>
  </si>
  <si>
    <t>Function</t>
  </si>
  <si>
    <t>Revised By:</t>
  </si>
  <si>
    <t>/GSF: Total Project Cost</t>
  </si>
  <si>
    <t>/ASF: Total Project Cost</t>
  </si>
  <si>
    <t>/ASF: Construction Cost (building &amp; site)</t>
  </si>
  <si>
    <t>/GSF: Construction Cost (building &amp; site)</t>
  </si>
  <si>
    <t>Efficiency</t>
  </si>
  <si>
    <t>Remodeling</t>
  </si>
  <si>
    <t>- Reimbursible costs</t>
  </si>
  <si>
    <t>- Systems Furniture</t>
  </si>
  <si>
    <t>Base Date:</t>
  </si>
  <si>
    <t>QUANTITY</t>
  </si>
  <si>
    <t>UNIT COST</t>
  </si>
  <si>
    <t>SUBTOTAL</t>
  </si>
  <si>
    <t>UNIT</t>
  </si>
  <si>
    <t>LUMP SUM</t>
  </si>
  <si>
    <t>LF</t>
  </si>
  <si>
    <t>- Pre-design</t>
  </si>
  <si>
    <t>Entrance/Lobby</t>
  </si>
  <si>
    <t>Classrooms</t>
  </si>
  <si>
    <t>Laboratories</t>
  </si>
  <si>
    <t>Offices</t>
  </si>
  <si>
    <t>Storage</t>
  </si>
  <si>
    <t>2. Architect/Engineer Basic Services</t>
  </si>
  <si>
    <t>3. Additional Design Services</t>
  </si>
  <si>
    <t>4. Project Contingency</t>
  </si>
  <si>
    <t>1. Total Construction Cost</t>
  </si>
  <si>
    <t>ADDITIONAL CONSTRUCTION &amp; REMODELING COSTS:</t>
  </si>
  <si>
    <t>TOTAL PROJECT COST ESTIMATE:</t>
  </si>
  <si>
    <t>Bid Date</t>
  </si>
  <si>
    <t>DEMO</t>
  </si>
  <si>
    <t>HAZ MATS</t>
  </si>
  <si>
    <t>HAZARDOUS MATERIALS ABATEMENT</t>
  </si>
  <si>
    <t>HEADING NAME OR ITEM CODE</t>
  </si>
  <si>
    <t>ITEM DESCRIPTION</t>
  </si>
  <si>
    <t>Notes</t>
  </si>
  <si>
    <t>HEADING #1, LINE ITEM #1</t>
  </si>
  <si>
    <t>HEADING #1, LINE ITEM #2</t>
  </si>
  <si>
    <t>HEADING #1, LINE ITEM #3</t>
  </si>
  <si>
    <t>HEADING #2, LINE ITEM #2</t>
  </si>
  <si>
    <t>HEADING #2, LINE ITEM #3</t>
  </si>
  <si>
    <t>CONSTRUCTION</t>
  </si>
  <si>
    <t>TOTAL CONSTRUCTION</t>
  </si>
  <si>
    <t>DESIGN FEES (BASIC)</t>
  </si>
  <si>
    <t>DESIGN FEES (OTHER)</t>
  </si>
  <si>
    <t>TOTAL DESIGN FEES</t>
  </si>
  <si>
    <t>CONTINGENCY</t>
  </si>
  <si>
    <t>MANAGEMENT FEES</t>
  </si>
  <si>
    <t>TOTAL BUDGET ESTIMATE</t>
  </si>
  <si>
    <t>X</t>
  </si>
  <si>
    <t xml:space="preserve">LOCATION:  </t>
  </si>
  <si>
    <t xml:space="preserve">OPTION NO.:  </t>
  </si>
  <si>
    <t>5. Project Management</t>
  </si>
  <si>
    <t>- Basic Services (Calculated % of Construction $)</t>
  </si>
  <si>
    <t>- Basic Services (Enter Direct $ for Basic A/E Fees)</t>
  </si>
  <si>
    <t>Movable furnishings, kitchen appliances and fixtures, and specialty items (i.e. coolers or freezers sized for more than day use, blast freezers, large exhaust ventilation hoods) are not included in these $/GSF figures.</t>
  </si>
  <si>
    <t>Design Contingency</t>
  </si>
  <si>
    <t>Design Fees (Basic)</t>
  </si>
  <si>
    <t>Design Fees (Other)</t>
  </si>
  <si>
    <t>Design Fees Budget Total</t>
  </si>
  <si>
    <t>Contingency</t>
  </si>
  <si>
    <t>Management Fees</t>
  </si>
  <si>
    <t>TOTAL BUDGET</t>
  </si>
  <si>
    <t>Base Date</t>
  </si>
  <si>
    <t>Notes:</t>
  </si>
  <si>
    <t>Overhead &amp; Profit (OH&amp;P)</t>
  </si>
  <si>
    <t>LOCATION:</t>
  </si>
  <si>
    <t>PROJECT TITLE:</t>
  </si>
  <si>
    <t>This worksheet references data from the [PBW] and [PBW_Summary] worksheets. It is intended to provide a quick budget estimate based on updated ENR Building Cost Index values when they are published in subsequent PBW templates. The current budget estimate is based on the Inflation Factor displayed in cells [A6] and [B17]. Assuming no other changes to the PBW content other than ENR Index values, the value in cell [B17] may be overwritten based on the new Inflation Factor contained in subsequent PBW templates. Simply open the newest PBW template and find the current Inflation Factor calculated for the specified Based Date and Bid Date in the [ENR] worksheet, which is located in the cell reference displayed in cell [A7]. Enter that new Inflation Factor value in cell [B17] in this workbook, and the new project budget estimate will be calculated and updated to current ENR Index standards.</t>
  </si>
  <si>
    <t>This worksheet references data from the [PBW] and [PBW_Summary] worksheets. It is intended to provide a quick budget estimate based on updated ENR Building Cost Index values when they are published in subsequent PBW templates. The current budget estimate is based on the Inflation Factor displayed in cells [A6] and [B17]. Changing the Inflation Date value in cell [A5], which defaults to the Projected Bid Date value from the [PBW] worksheet cell [H11], will change the Inflation Factor used in calculating the budget estimate in cells [A6] and [B17]. This methodology assumes no other changes to PBW content values other than the ENR Index values corresponding to the new Inflation Date.</t>
  </si>
  <si>
    <t>Construction Budget Total</t>
  </si>
  <si>
    <t>- Specify Additional Design Service</t>
  </si>
  <si>
    <t>- Audio-Visual and Computer Equipment</t>
  </si>
  <si>
    <t>- Commissioning (Level 1 or 2)</t>
  </si>
  <si>
    <t>6.  Furnishings, Fixtures, &amp; Equipment (FF&amp;E)</t>
  </si>
  <si>
    <t>- Furnishings, Fixtures, &amp; Equipment (FF&amp;E) Design Fee</t>
  </si>
  <si>
    <t>FURNISHINGS, FIXTURES, &amp; EQUIPMENT (FF&amp;E): CONTRACTOR FURNISHED, CONTRACTOR INSTALLED (CFCI)</t>
  </si>
  <si>
    <t xml:space="preserve">  Furnishings, Fixtures, &amp; Equipment (FF&amp;E): Owner Furnished, Contractor Installed (OFCI)</t>
  </si>
  <si>
    <t>Furnishings, Fixtures, &amp; Equipment (FF&amp;E): Owner Furnished, Owner Installed (OFOI)</t>
  </si>
  <si>
    <t>- Movable &amp; Special Equipment Allowance (% of Construction $)</t>
  </si>
  <si>
    <t>- FF&amp;E: OFCI (from #3 above)</t>
  </si>
  <si>
    <t>FF&amp;E: CFCI</t>
  </si>
  <si>
    <t>FF&amp;E: OFCI</t>
  </si>
  <si>
    <t>FF&amp;E: OFOI</t>
  </si>
  <si>
    <t>ADDITIONAL CONSTRUCTION &amp; REMODELING COST SUBTOTAL</t>
  </si>
  <si>
    <t>CONSTRUCTION &amp; REMODELING COST SUBTOTAL</t>
  </si>
  <si>
    <t>NEW CONSTRUCTION &amp; REMODELING COST SUBTOTAL</t>
  </si>
  <si>
    <t>NEW CONSTRUCTION COST SUBTOTAL</t>
  </si>
  <si>
    <t>DEMOLITION (RAZING GROSS SQUARE FOOTAGE)</t>
  </si>
  <si>
    <t>DFDM $/GSF</t>
  </si>
  <si>
    <t>FURNISHINGS, FIXTURES, &amp; EQUIPMENT (FF&amp;E)</t>
  </si>
  <si>
    <t>OWNER FURNISHED, CONTRACTOR INSTALLED (OFCI)</t>
  </si>
  <si>
    <t>OWNER FURNISHED, OWNER INSTALLED (OFOI)</t>
  </si>
  <si>
    <t>SF</t>
  </si>
  <si>
    <t>TELESCOPING BLEACHERS</t>
  </si>
  <si>
    <t>RADIO TOWER</t>
  </si>
  <si>
    <t>EACH</t>
  </si>
  <si>
    <t>TELECOMMUNICATIONS</t>
  </si>
  <si>
    <t>AUTOCLAVE</t>
  </si>
  <si>
    <t>EQUIPMENT</t>
  </si>
  <si>
    <t>ATHLETICS/RECREATION</t>
  </si>
  <si>
    <r>
      <rPr>
        <b/>
        <u/>
        <sz val="10"/>
        <color rgb="FFC00000"/>
        <rFont val="Arial Narrow"/>
        <family val="2"/>
      </rPr>
      <t>NOTE:</t>
    </r>
    <r>
      <rPr>
        <sz val="10"/>
        <color rgb="FFC00000"/>
        <rFont val="Arial Narrow"/>
        <family val="2"/>
      </rPr>
      <t xml:space="preserve"> If a 3rd party detailed budget estimate already exists in some other format, it is recommended those construction costs be entered as a lump sum item and the detailed budget estimate be referenced in the line item description vs. recreating the detail in this budget worksheet. If a 3rd party detailed budget estimate is not taken in whole as the basis for this budget estimate, the pertinent detail should be recreated here and be easily referenced and discoverable in the 3rd party estimate in terms of line item organization and terminology.</t>
    </r>
  </si>
  <si>
    <r>
      <t>There are two new worksheets in the PBW template…</t>
    </r>
    <r>
      <rPr>
        <b/>
        <sz val="10"/>
        <rFont val="Arial Narrow"/>
        <family val="2"/>
      </rPr>
      <t>Quick Inflation Date Update</t>
    </r>
    <r>
      <rPr>
        <sz val="10"/>
        <rFont val="Arial Narrow"/>
        <family val="2"/>
      </rPr>
      <t xml:space="preserve"> (QIDU) and </t>
    </r>
    <r>
      <rPr>
        <b/>
        <sz val="10"/>
        <rFont val="Arial Narrow"/>
        <family val="2"/>
      </rPr>
      <t xml:space="preserve">Quick Inflation Factor Update </t>
    </r>
    <r>
      <rPr>
        <sz val="10"/>
        <rFont val="Arial Narrow"/>
        <family val="2"/>
      </rPr>
      <t xml:space="preserve">(QIFU). Both are designed and intended to allow quick budget estimate updates without having to recreate the entire PBW detail. The </t>
    </r>
    <r>
      <rPr>
        <b/>
        <sz val="10"/>
        <rFont val="Arial Narrow"/>
        <family val="2"/>
      </rPr>
      <t>Quick Inflation Date Update</t>
    </r>
    <r>
      <rPr>
        <sz val="10"/>
        <rFont val="Arial Narrow"/>
        <family val="2"/>
      </rPr>
      <t xml:space="preserve"> worksheet can be used to publish a current budget estimate without all the projected and estimated inflation, for example, at the time the A/E Design Team is hired. The inflation has to be earned rather than assumed as part of the base project budget. The </t>
    </r>
    <r>
      <rPr>
        <b/>
        <sz val="10"/>
        <rFont val="Arial Narrow"/>
        <family val="2"/>
      </rPr>
      <t>Quick Inflation Factor Update</t>
    </r>
    <r>
      <rPr>
        <sz val="10"/>
        <rFont val="Arial Narrow"/>
        <family val="2"/>
      </rPr>
      <t xml:space="preserve"> worksheet can be used to re-estimate the entire project budget estimate using a corrected and actual ENR Index inflation factor value from a future PBW template edition (for example 12-18 months post original PBW creation). </t>
    </r>
  </si>
  <si>
    <t>$63,000 - $75,000/ bed</t>
  </si>
  <si>
    <t>ADDITIONAL CONSTRUCTION &amp; REMODELING COSTS</t>
  </si>
  <si>
    <t>Construction Cost (Unescalated)</t>
  </si>
  <si>
    <t>Hazardous Materials (Unescalated)</t>
  </si>
  <si>
    <t>Construction Total (Unescalated)</t>
  </si>
  <si>
    <t>Total Construction (Unescalated)</t>
  </si>
  <si>
    <t>Total Construction (Escalated)</t>
  </si>
  <si>
    <t>FF&amp;E: Owner Furnished, Contractor Installed (OFCI)</t>
  </si>
  <si>
    <t>FF&amp;E: Owner Furnished, Owner Installed (OFOI)</t>
  </si>
  <si>
    <t>Furnishings, Fixtures, &amp; Equipment Budget (FF&amp;E) Total</t>
  </si>
  <si>
    <t>REVISED ESTIMATE</t>
  </si>
  <si>
    <t>ORIGINAL ESTIMATE</t>
  </si>
  <si>
    <t>Food Service</t>
  </si>
  <si>
    <t>Physical Education</t>
  </si>
  <si>
    <t>Agricultural</t>
  </si>
  <si>
    <t>Service and Maintenance</t>
  </si>
  <si>
    <t>Storage (Prefabricated Metal)</t>
  </si>
  <si>
    <r>
      <rPr>
        <b/>
        <sz val="10"/>
        <rFont val="Arial Narrow"/>
        <family val="2"/>
      </rPr>
      <t>Movable and Special Equipment</t>
    </r>
    <r>
      <rPr>
        <sz val="10"/>
        <rFont val="Arial Narrow"/>
        <family val="2"/>
      </rPr>
      <t xml:space="preserve"> is handled with more flexibility and user control than previous PBW template editions. This type of budget information have now been retitled </t>
    </r>
    <r>
      <rPr>
        <b/>
        <sz val="10"/>
        <rFont val="Arial Narrow"/>
        <family val="2"/>
      </rPr>
      <t xml:space="preserve">Furnishings, Fixtures, and Equipment </t>
    </r>
    <r>
      <rPr>
        <sz val="10"/>
        <rFont val="Arial Narrow"/>
        <family val="2"/>
      </rPr>
      <t xml:space="preserve">to align with industry terminology standards. There are now three methods in which to enter this type of information: (1) on Page 2, at the bottom, under the section titled </t>
    </r>
    <r>
      <rPr>
        <b/>
        <sz val="10"/>
        <rFont val="Arial Narrow"/>
        <family val="2"/>
      </rPr>
      <t>Contractor Furnished, Contractor Installed (CFCI)</t>
    </r>
    <r>
      <rPr>
        <sz val="10"/>
        <rFont val="Arial Narrow"/>
        <family val="2"/>
      </rPr>
      <t xml:space="preserve">. This section is integrated into the construction budget estimate and therefore has the full Design Fee and pertinent Additional Design Fees applied to it. (2) on Page 3, under </t>
    </r>
    <r>
      <rPr>
        <b/>
        <sz val="10"/>
        <rFont val="Arial Narrow"/>
        <family val="2"/>
      </rPr>
      <t>Section 3 titled Additional Design Services</t>
    </r>
    <r>
      <rPr>
        <sz val="10"/>
        <rFont val="Arial Narrow"/>
        <family val="2"/>
      </rPr>
      <t xml:space="preserve">, there is a subsection for </t>
    </r>
    <r>
      <rPr>
        <b/>
        <sz val="10"/>
        <rFont val="Arial Narrow"/>
        <family val="2"/>
      </rPr>
      <t>Owner Furnished, Contractor Installed (OFCI)</t>
    </r>
    <r>
      <rPr>
        <sz val="10"/>
        <rFont val="Arial Narrow"/>
        <family val="2"/>
      </rPr>
      <t xml:space="preserve"> items. These are items that have an additional design fee applied to the summation of items listed here...either for selection and specification; or selection, specification, design/layout, and procurement assistance; or something in-between. (3) on Page 3, under </t>
    </r>
    <r>
      <rPr>
        <b/>
        <sz val="10"/>
        <rFont val="Arial Narrow"/>
        <family val="2"/>
      </rPr>
      <t>Section 6 titled Furnishings, Fixtures, and Equipment</t>
    </r>
    <r>
      <rPr>
        <sz val="10"/>
        <rFont val="Arial Narrow"/>
        <family val="2"/>
      </rPr>
      <t xml:space="preserve">, there is a subsection for </t>
    </r>
    <r>
      <rPr>
        <b/>
        <sz val="10"/>
        <rFont val="Arial Narrow"/>
        <family val="2"/>
      </rPr>
      <t>Owner Furnished, Owner Installed (OFOI)</t>
    </r>
    <r>
      <rPr>
        <sz val="10"/>
        <rFont val="Arial Narrow"/>
        <family val="2"/>
      </rPr>
      <t xml:space="preserve"> items that have no design fees applied, but are using project funds to be procured and installed by the institution. </t>
    </r>
  </si>
  <si>
    <t>Occupancy Date:</t>
  </si>
  <si>
    <t>Date Prepared:</t>
  </si>
  <si>
    <t>Prepared By:</t>
  </si>
  <si>
    <t>ENR Index #</t>
  </si>
  <si>
    <t>Month/Year</t>
  </si>
  <si>
    <t>UNIVERSITY OF WISCONSIN SYSTEM</t>
  </si>
  <si>
    <t>1. HEADING #1</t>
  </si>
  <si>
    <t>2. HEADING #2</t>
  </si>
  <si>
    <t>HEADING #2, LINE ITEM #1</t>
  </si>
  <si>
    <t>…OR…</t>
  </si>
  <si>
    <r>
      <t xml:space="preserve">REMODELING COST SUBTOTAL </t>
    </r>
    <r>
      <rPr>
        <sz val="8"/>
        <color theme="0" tint="-0.34998626667073579"/>
        <rFont val="Arial Narrow"/>
        <family val="2"/>
      </rPr>
      <t>(cell H63 will highlight red if Remodeling by Space Type and Remodeling by Trade sections are both used)</t>
    </r>
  </si>
  <si>
    <r>
      <t xml:space="preserve">This budget worksheet should be flexible enough for all capital project request types: </t>
    </r>
    <r>
      <rPr>
        <i/>
        <sz val="10"/>
        <rFont val="Arial Narrow"/>
        <family val="2"/>
      </rPr>
      <t>Small Projects, All Agency Projects, Instructional Space Projects, Minor Projects, enumerated Major Projects, and UW Managed projects</t>
    </r>
    <r>
      <rPr>
        <sz val="10"/>
        <rFont val="Arial Narrow"/>
        <family val="2"/>
      </rPr>
      <t>.</t>
    </r>
    <r>
      <rPr>
        <sz val="10"/>
        <color rgb="FF0000FF"/>
        <rFont val="Arial Narrow"/>
        <family val="2"/>
      </rPr>
      <t xml:space="preserve"> </t>
    </r>
    <r>
      <rPr>
        <sz val="10"/>
        <rFont val="Arial Narrow"/>
        <family val="2"/>
      </rPr>
      <t xml:space="preserve">All </t>
    </r>
    <r>
      <rPr>
        <sz val="10"/>
        <color rgb="FFC00000"/>
        <rFont val="Arial Narrow"/>
        <family val="2"/>
      </rPr>
      <t>dark red text fields</t>
    </r>
    <r>
      <rPr>
        <sz val="10"/>
        <rFont val="Arial Narrow"/>
        <family val="2"/>
      </rPr>
      <t xml:space="preserve"> are unlocked and intended for user entry and definition. All other fields are locked and protected from user entry or modification.</t>
    </r>
  </si>
  <si>
    <r>
      <t>This worksheet allows renovation costs estimates to be conducted using a "</t>
    </r>
    <r>
      <rPr>
        <b/>
        <sz val="10"/>
        <rFont val="Arial Narrow"/>
        <family val="2"/>
      </rPr>
      <t>Remodeling by Space Type</t>
    </r>
    <r>
      <rPr>
        <sz val="10"/>
        <rFont val="Arial Narrow"/>
        <family val="2"/>
      </rPr>
      <t>" and/or "</t>
    </r>
    <r>
      <rPr>
        <b/>
        <sz val="10"/>
        <rFont val="Arial Narrow"/>
        <family val="2"/>
      </rPr>
      <t>Remodeling by Trade</t>
    </r>
    <r>
      <rPr>
        <sz val="10"/>
        <rFont val="Arial Narrow"/>
        <family val="2"/>
      </rPr>
      <t xml:space="preserve">" methodologies. Using both methodologies in a single budget estimate would be unusual and could lead to duplicative cost estimates. </t>
    </r>
    <r>
      <rPr>
        <b/>
        <sz val="10"/>
        <color rgb="FFC00000"/>
        <rFont val="Arial Narrow"/>
        <family val="2"/>
      </rPr>
      <t>Use with caution.</t>
    </r>
    <r>
      <rPr>
        <b/>
        <sz val="10"/>
        <color rgb="FFAC1B5A"/>
        <rFont val="Arial Narrow"/>
        <family val="2"/>
      </rPr>
      <t xml:space="preserve"> </t>
    </r>
    <r>
      <rPr>
        <sz val="10"/>
        <rFont val="Arial Narrow"/>
        <family val="2"/>
      </rPr>
      <t xml:space="preserve">The "Remodeling by Trade" line items now include a </t>
    </r>
    <r>
      <rPr>
        <b/>
        <sz val="10"/>
        <rFont val="Arial Narrow"/>
        <family val="2"/>
      </rPr>
      <t>Notes</t>
    </r>
    <r>
      <rPr>
        <sz val="10"/>
        <rFont val="Arial Narrow"/>
        <family val="2"/>
      </rPr>
      <t xml:space="preserve"> field for user text entry to clarify, further define, and/or re-define the standard category terms. The Notes field should be used when the standard unit costs are overwritten by the user. Cel H63 will automatically highlight in red if both "</t>
    </r>
    <r>
      <rPr>
        <b/>
        <sz val="10"/>
        <rFont val="Arial Narrow"/>
        <family val="2"/>
      </rPr>
      <t>Remodeling by Space Type</t>
    </r>
    <r>
      <rPr>
        <sz val="10"/>
        <rFont val="Arial Narrow"/>
        <family val="2"/>
      </rPr>
      <t>" and "</t>
    </r>
    <r>
      <rPr>
        <b/>
        <sz val="10"/>
        <rFont val="Arial Narrow"/>
        <family val="2"/>
      </rPr>
      <t>Remodeling by Trade</t>
    </r>
    <r>
      <rPr>
        <sz val="10"/>
        <rFont val="Arial Narrow"/>
        <family val="2"/>
      </rPr>
      <t>" section are used.</t>
    </r>
  </si>
  <si>
    <t>Escalation Delta (Manual - Calculated):</t>
  </si>
  <si>
    <r>
      <t>Since most capital projects require feasibility and/or pre-design estimates, the budget worksheet has been modified to offer more flexibility in the arrangement and organization of the line items. Page 2 is now structured to allow the greatest flexibility to insert line items. Smart code identifiers (</t>
    </r>
    <r>
      <rPr>
        <i/>
        <sz val="10"/>
        <rFont val="Arial Narrow"/>
        <family val="2"/>
      </rPr>
      <t>i.e. MasterFormat or UniFormat</t>
    </r>
    <r>
      <rPr>
        <sz val="10"/>
        <rFont val="Arial Narrow"/>
        <family val="2"/>
      </rPr>
      <t>) can be entered; quantity/unit of measure/unit costs must be entered to calculate the line item cost; and the user determines the organization headings and can arrange the information to their specification. See Note #6 below for further information.</t>
    </r>
  </si>
  <si>
    <t>Hazardous Materials:</t>
  </si>
  <si>
    <t>Construction:</t>
  </si>
  <si>
    <t>Total Construction:</t>
  </si>
  <si>
    <t>Design Fees (Basic):</t>
  </si>
  <si>
    <t>Design Fees (Other):</t>
  </si>
  <si>
    <t>Total Design Fees:</t>
  </si>
  <si>
    <t>Contingency:</t>
  </si>
  <si>
    <t>Management Fees:</t>
  </si>
  <si>
    <t>Furnishings/Fixtures/Eqpt:</t>
  </si>
  <si>
    <t>Total Budget Estimate:</t>
  </si>
  <si>
    <t>$</t>
  </si>
  <si>
    <t>CAPITAL PROJECT REQUEST "Project Budget" Table</t>
  </si>
  <si>
    <r>
      <t xml:space="preserve">At the bottom of the </t>
    </r>
    <r>
      <rPr>
        <b/>
        <sz val="10"/>
        <rFont val="Arial Narrow"/>
        <family val="2"/>
      </rPr>
      <t>PBW_Summary</t>
    </r>
    <r>
      <rPr>
        <sz val="10"/>
        <rFont val="Arial Narrow"/>
        <family val="2"/>
      </rPr>
      <t xml:space="preserve"> worksheet is a table which can be selected, copied, and pasted directly into the Capital Project Request's Project Budget section. The table  formatting is identical in cell and font size, style, and color.</t>
    </r>
  </si>
  <si>
    <t>Multi-Purpose</t>
  </si>
  <si>
    <t>Design:</t>
  </si>
  <si>
    <t>DFDM Fee</t>
  </si>
  <si>
    <t>Equipment</t>
  </si>
  <si>
    <t>TOTAL:</t>
  </si>
  <si>
    <t>SBC "CAPITAL BUDGET REQUEST" Table</t>
  </si>
  <si>
    <t>REMODELING COST SUBTOTAL (cell H63 will highlight red if Remodeling by Space Type and Remodeling by Trade sections are both used)</t>
  </si>
  <si>
    <t>LINE 3B</t>
  </si>
  <si>
    <t>LINE 1</t>
  </si>
  <si>
    <t>LINE 0</t>
  </si>
  <si>
    <t>LINE 3A</t>
  </si>
  <si>
    <t>LINE 4</t>
  </si>
  <si>
    <t>Estimated Inflation</t>
  </si>
  <si>
    <t>UNINFLATED</t>
  </si>
  <si>
    <t>INFLATED</t>
  </si>
  <si>
    <t>AccessGov Data</t>
  </si>
  <si>
    <t>ENR Index Value</t>
  </si>
  <si>
    <t>Inflation Factor</t>
  </si>
  <si>
    <t>Inflation Amount</t>
  </si>
  <si>
    <t>Inflated Project Budget</t>
  </si>
  <si>
    <t>Delta UWSA Calculation vs. DFD Estimation</t>
  </si>
  <si>
    <t>DEMOLITION SUBTOTAL</t>
  </si>
  <si>
    <t>DESIGN CONTINGENCY</t>
  </si>
  <si>
    <t>OVERHEAD &amp; PROFIT (OH&amp;P)</t>
  </si>
  <si>
    <t>UNESCALATED CONSTRUCTION COST SUBTOTAL</t>
  </si>
  <si>
    <t>ESCALATED CONSTRUCTION COST SUBTOTAL</t>
  </si>
  <si>
    <t>ESCALATION INCLUDED IN CONSTRUCTION COST SUBTOTAL</t>
  </si>
  <si>
    <t>CONSTRUCTION COST ANALYSIS: CONSTRUCTION COST ESCALATION VALUE CALCULATION</t>
  </si>
  <si>
    <t>FURNISHINGS, FIXTURES, &amp; EQUIPMENT COST ANALYSIS</t>
  </si>
  <si>
    <t>FF&amp;E: CONTRACTOR FURNISHED, CONTRACTOR INSTALLED (CFCI) SUBTOTAL</t>
  </si>
  <si>
    <t>FF&amp;E: CONTRACTOR FURNISHED, CONTRACTOR INSTALLED (CFCI)</t>
  </si>
  <si>
    <t>FF&amp;E: OWNER FURNISHED, CONTRACTOR INSTALLED (OFCI)</t>
  </si>
  <si>
    <t>FF&amp;E: OWNER FURNISHED, OWNER INSTALLED (OFOI)</t>
  </si>
  <si>
    <t>FF&amp;E:OFCI DESIGN FEE</t>
  </si>
  <si>
    <t>FF&amp;E:OFOI ALLOWANCE</t>
  </si>
  <si>
    <t>FURNISHINGS, FIXTURES, &amp; EQUIPMENT (FF&amp;E) SUBTOTAL</t>
  </si>
  <si>
    <t>ARCHITECT/ENGINEER DESIGN SERVICES COST ANALYSIS</t>
  </si>
  <si>
    <t>BASIC SERVICES</t>
  </si>
  <si>
    <t>REIMBURSIBLE COSTS</t>
  </si>
  <si>
    <t>ARCHITECT/ENGINEER BASIC SERVICES SUBTOTAL</t>
  </si>
  <si>
    <t>PRE-DESIGN</t>
  </si>
  <si>
    <t>LEED CERTIFICATION</t>
  </si>
  <si>
    <t>COMMISSIONING</t>
  </si>
  <si>
    <t>EIS/EIA CONSULTANT</t>
  </si>
  <si>
    <t>CONSTRUCTION TESTING</t>
  </si>
  <si>
    <t>TESTING &amp; BALANCING</t>
  </si>
  <si>
    <t>CUSTOM LINE ITEMS SUBTOTAL</t>
  </si>
  <si>
    <t>ADDITIONAL DESIGN SERVICES SUBTOTAL</t>
  </si>
  <si>
    <t>Escalation Date:</t>
  </si>
  <si>
    <t>Escalation Date</t>
  </si>
  <si>
    <t>Escalation Date Index:</t>
  </si>
  <si>
    <t>Base Date Index:</t>
  </si>
  <si>
    <t>Escsalation Factor (Value)</t>
  </si>
  <si>
    <t>ENR Escalation Factor and Escalated Budget Estimate</t>
  </si>
  <si>
    <t>Escalation Factor (Value)</t>
  </si>
  <si>
    <t>Escalation Factor (Calculated):</t>
  </si>
  <si>
    <t>Escalation Factor (Manual):</t>
  </si>
  <si>
    <t>Escalation Factor</t>
  </si>
  <si>
    <t>Escalation Amount</t>
  </si>
  <si>
    <t>Escalated Project Budget</t>
  </si>
  <si>
    <t>Unescalated Project Budget</t>
  </si>
  <si>
    <t>2023-25 Capital Budget: Escalation Calculator</t>
  </si>
  <si>
    <t>The Base Date and Escalation Date cells can now use any combination of month and year (previous editions only allowed January or July) from January 2011 - December 2050. Consequently, the ENR Index lookup table has also been expanded to allow lookup of inflation values for any combination of Base Date and Escalation Date...this is most useful for future PBW template editions which will contain updated and actual/corrected ENR Index values vs. the projected estimates embedded in each edition of the template. There are three fields for ENR Escalation factors on Page 1. "Escalation (Calculated)" is a lookup of the inflation factor based on the Base Date and Escalation Date data entry values in this worksheet and the projections contained in the embedded ENR Index worksheet. "Escalation (Manual)" defaults to the "Escalation (Calculated)" value, but can be manually overwrtten by the user using a future PBW template with updated and corrected ENR values. Manual overrides below the default will highlight in red, above the default will highlight in yellow, and unchanged will highlight in green. "Escalation Delta (Manual - Calculated)" calculates the difference between the default value embedded in the ENR Index and the manual override. ENR Index values in BLACK TEXT are actual values, RED TEXT is projected/estimated based on the Annual Inflation Factor Estimate at the top of the worksheet.</t>
  </si>
  <si>
    <t>2023/25 Capital Budget: Inflation Summary</t>
  </si>
  <si>
    <t>2023/25 Capital Budget: Inflation Estimator</t>
  </si>
  <si>
    <t>Project Budget</t>
  </si>
  <si>
    <t>Enter the estimated project budget here</t>
  </si>
  <si>
    <t>Select the anticipated bid date from the drop down</t>
  </si>
  <si>
    <t>PROJECT TYPE</t>
  </si>
  <si>
    <t>PROJECT TYPE:</t>
  </si>
  <si>
    <t>AA</t>
  </si>
  <si>
    <t>IS</t>
  </si>
  <si>
    <t>MFR</t>
  </si>
  <si>
    <t>MP</t>
  </si>
  <si>
    <t>P&amp;D</t>
  </si>
  <si>
    <t>SP</t>
  </si>
  <si>
    <t>ALL AGENCY</t>
  </si>
  <si>
    <t>INSTRUCTIONAL SPACE</t>
  </si>
  <si>
    <t>MINOR FACILITIES RENEWAL</t>
  </si>
  <si>
    <t>MAJOR PROJECT</t>
  </si>
  <si>
    <t>PLANNING &amp; DESIGN</t>
  </si>
  <si>
    <t>SMALL PROJECT</t>
  </si>
  <si>
    <t>UNSPECIFIED</t>
  </si>
  <si>
    <t>DURATION</t>
  </si>
  <si>
    <t>Bid Date:</t>
  </si>
  <si>
    <t>Suspended acoustical ceiling panels only</t>
  </si>
  <si>
    <t>Updated unit cost from contractor</t>
  </si>
  <si>
    <t>23X8X</t>
  </si>
  <si>
    <t>HEADING #2, LINE ITEM #4</t>
  </si>
  <si>
    <t>HEADING #3, LINE ITEM #1</t>
  </si>
  <si>
    <t>HEADING #3, LINE ITEM #2</t>
  </si>
  <si>
    <t>HEADING #3, LINE ITEM #3</t>
  </si>
  <si>
    <t>HEADING #3, LINE ITEM #4</t>
  </si>
  <si>
    <t>VF</t>
  </si>
  <si>
    <t>ACRES</t>
  </si>
  <si>
    <t>CLIMBING WALL &amp; ROPES COURSE</t>
  </si>
  <si>
    <t>- Hazardous Materials Design</t>
  </si>
  <si>
    <t>- Geotechnical Survey</t>
  </si>
  <si>
    <t>- DSPS Plan Review</t>
  </si>
  <si>
    <t>- Information/Library Kiosks (Mobile)</t>
  </si>
  <si>
    <t>- Laboratory Casework/Workstations (Mobile)</t>
  </si>
  <si>
    <t>- Dining Booths</t>
  </si>
  <si>
    <t>- Waste Management/Recycling Equipment</t>
  </si>
  <si>
    <t>NOW</t>
  </si>
  <si>
    <t>NOW-730</t>
  </si>
  <si>
    <t>NOW-1460</t>
  </si>
  <si>
    <t>CAPITAL PROJECT REQUEST "Project Budget" Table (NO INFLATION)</t>
  </si>
  <si>
    <t>START A</t>
  </si>
  <si>
    <t>END A</t>
  </si>
  <si>
    <t>START B</t>
  </si>
  <si>
    <t>END B</t>
  </si>
  <si>
    <t>YEAR</t>
  </si>
  <si>
    <t>MONTH</t>
  </si>
  <si>
    <t>COMBO</t>
  </si>
  <si>
    <t>DATE</t>
  </si>
  <si>
    <t>ANNUAL A</t>
  </si>
  <si>
    <t>MONTHLY A</t>
  </si>
  <si>
    <t>ANNUAL B</t>
  </si>
  <si>
    <t>MONTHLY B</t>
  </si>
  <si>
    <t>RATE</t>
  </si>
  <si>
    <t>BASE</t>
  </si>
  <si>
    <t>BID</t>
  </si>
  <si>
    <t>INFLATION</t>
  </si>
  <si>
    <t>FACTOR</t>
  </si>
  <si>
    <t>INDEX</t>
  </si>
  <si>
    <t>TRADE BASE</t>
  </si>
  <si>
    <t>NEW BASE</t>
  </si>
  <si>
    <t>DEMO BASE</t>
  </si>
  <si>
    <t>CAPACITY</t>
  </si>
  <si>
    <t>COST BASE</t>
  </si>
  <si>
    <t>INDEPENDENT INFLATION FACTOR SCENARIO BUILDER INFORMATION</t>
  </si>
  <si>
    <t>OLD MAIN MEMORIAL HALL ADDITION &amp; RENOVATION - PHASE VIII</t>
  </si>
  <si>
    <t>PRE-DESIGN COST ESTIMATE (23X8X, 04/01/2022)</t>
  </si>
  <si>
    <t>3, HEADING #3</t>
  </si>
  <si>
    <t>PRE-DESIGN BUDGET ESTIMATE (04/01/2022, pp. 88-99)</t>
  </si>
  <si>
    <t>FURNISHINGS</t>
  </si>
  <si>
    <t>- Loading dock Equipment</t>
  </si>
  <si>
    <t>- Bike Racks, Site Furnshings, and Flag Poles</t>
  </si>
  <si>
    <t>$/GSF RANGE</t>
  </si>
  <si>
    <t>$/STALL RANGE</t>
  </si>
  <si>
    <t>LOW END</t>
  </si>
  <si>
    <t>HIGH END</t>
  </si>
  <si>
    <t>SPACE CATEGORY</t>
  </si>
  <si>
    <t>EFFICIENCY</t>
  </si>
  <si>
    <t>COMMENTS and NOTES</t>
  </si>
  <si>
    <t>WORKSHEET INDEX (left to right worksheets organized top to bottom below)</t>
  </si>
  <si>
    <t>PBW BASE</t>
  </si>
  <si>
    <t>PBW BID</t>
  </si>
  <si>
    <t>Tab</t>
  </si>
  <si>
    <r>
      <rPr>
        <b/>
        <sz val="10"/>
        <rFont val="Arial Narrow"/>
        <family val="2"/>
      </rPr>
      <t xml:space="preserve"> SAMPLE: </t>
    </r>
    <r>
      <rPr>
        <sz val="10"/>
        <rFont val="Arial Narrow"/>
        <family val="2"/>
      </rPr>
      <t xml:space="preserve"> Guide and Sample of the PBW Worksheet, intended to show completed template and formatting/nomenclature standards.</t>
    </r>
  </si>
  <si>
    <r>
      <rPr>
        <b/>
        <sz val="10"/>
        <rFont val="Arial Narrow"/>
        <family val="2"/>
      </rPr>
      <t xml:space="preserve"> ENR: </t>
    </r>
    <r>
      <rPr>
        <sz val="10"/>
        <rFont val="Arial Narrow"/>
        <family val="2"/>
      </rPr>
      <t xml:space="preserve"> Engineering New Record's Building Cost Index History and Forecast based on anticipated inflation rates.</t>
    </r>
  </si>
  <si>
    <r>
      <rPr>
        <b/>
        <sz val="10"/>
        <rFont val="Arial Narrow"/>
        <family val="2"/>
      </rPr>
      <t xml:space="preserve"> LOOKUPS:  L</t>
    </r>
    <r>
      <rPr>
        <sz val="10"/>
        <rFont val="Arial Narrow"/>
        <family val="2"/>
      </rPr>
      <t>ookup values for PBW Revision Date and currentness, Project Type selections, and Duration by Project Size Matrix.</t>
    </r>
  </si>
  <si>
    <r>
      <rPr>
        <b/>
        <sz val="10"/>
        <rFont val="Arial Narrow"/>
        <family val="2"/>
      </rPr>
      <t xml:space="preserve"> COST GUIDELINES: </t>
    </r>
    <r>
      <rPr>
        <sz val="10"/>
        <rFont val="Arial Narrow"/>
        <family val="2"/>
      </rPr>
      <t xml:space="preserve"> Unit construction cost ranges and reference for various building space types. Auto-inflates costs based on ENR.</t>
    </r>
  </si>
  <si>
    <r>
      <rPr>
        <b/>
        <sz val="10"/>
        <rFont val="Arial Narrow"/>
        <family val="2"/>
      </rPr>
      <t xml:space="preserve"> Quick Inflation Factor Update:</t>
    </r>
    <r>
      <rPr>
        <sz val="10"/>
        <rFont val="Arial Narrow"/>
        <family val="2"/>
      </rPr>
      <t xml:space="preserve">  Maps content from PBW worksheet, intended for scenario planning w/o modifying PBW worksheet.</t>
    </r>
  </si>
  <si>
    <r>
      <rPr>
        <b/>
        <sz val="10"/>
        <rFont val="Arial Narrow"/>
        <family val="2"/>
      </rPr>
      <t xml:space="preserve"> Quick Inflation Date Update:</t>
    </r>
    <r>
      <rPr>
        <sz val="10"/>
        <rFont val="Arial Narrow"/>
        <family val="2"/>
      </rPr>
      <t xml:space="preserve">  Maps content from PBW worksheet, intended for scenario planning w/o modifying PBW worksheet.</t>
    </r>
  </si>
  <si>
    <r>
      <rPr>
        <b/>
        <sz val="10"/>
        <rFont val="Arial Narrow"/>
        <family val="2"/>
      </rPr>
      <t xml:space="preserve"> PBW_Summary: </t>
    </r>
    <r>
      <rPr>
        <sz val="10"/>
        <rFont val="Arial Narrow"/>
        <family val="2"/>
      </rPr>
      <t xml:space="preserve"> Summarizes and maps content from PBW worksheet.</t>
    </r>
  </si>
  <si>
    <r>
      <rPr>
        <b/>
        <sz val="10"/>
        <rFont val="Arial Narrow"/>
        <family val="2"/>
      </rPr>
      <t xml:space="preserve"> PBW: </t>
    </r>
    <r>
      <rPr>
        <sz val="10"/>
        <rFont val="Arial Narrow"/>
        <family val="2"/>
      </rPr>
      <t xml:space="preserve"> Project Budget Worksheet template and primary worksheet intended for user entry/modification.</t>
    </r>
  </si>
  <si>
    <r>
      <rPr>
        <b/>
        <sz val="10"/>
        <rFont val="Arial Narrow"/>
        <family val="2"/>
      </rPr>
      <t xml:space="preserve"> PBW_Summary_NoInflation: </t>
    </r>
    <r>
      <rPr>
        <sz val="10"/>
        <rFont val="Arial Narrow"/>
        <family val="2"/>
      </rPr>
      <t xml:space="preserve"> Summarizes and maps content from PBW_NoInflation worksheet.</t>
    </r>
  </si>
  <si>
    <r>
      <rPr>
        <b/>
        <sz val="10"/>
        <rFont val="Arial Narrow"/>
        <family val="2"/>
      </rPr>
      <t xml:space="preserve"> PBW_NoInflation:</t>
    </r>
    <r>
      <rPr>
        <sz val="10"/>
        <rFont val="Arial Narrow"/>
        <family val="2"/>
      </rPr>
      <t xml:space="preserve">  Maps content from PBW worksheet and changes Escalation Factor to 1.0000 to remove inflation.</t>
    </r>
  </si>
  <si>
    <r>
      <rPr>
        <b/>
        <sz val="10"/>
        <rFont val="Arial Narrow"/>
        <family val="2"/>
      </rPr>
      <t xml:space="preserve"> DFD Inflation Estimation Tool: </t>
    </r>
    <r>
      <rPr>
        <sz val="10"/>
        <rFont val="Arial Narrow"/>
        <family val="2"/>
      </rPr>
      <t xml:space="preserve"> DFD's 2023-25 inflation estimate worksheet used to calculate amount of inflation in each request.</t>
    </r>
  </si>
  <si>
    <r>
      <rPr>
        <b/>
        <sz val="10"/>
        <rFont val="Arial Narrow"/>
        <family val="2"/>
      </rPr>
      <t xml:space="preserve"> DFD Inflation Summary:</t>
    </r>
    <r>
      <rPr>
        <sz val="10"/>
        <rFont val="Arial Narrow"/>
        <family val="2"/>
      </rPr>
      <t xml:space="preserve">  DFD's lookup worksheet for inflation calculations based on July 2022 Base Date and antcipated Bid Date.</t>
    </r>
  </si>
  <si>
    <r>
      <rPr>
        <b/>
        <sz val="10"/>
        <rFont val="Arial Narrow"/>
        <family val="2"/>
      </rPr>
      <t xml:space="preserve"> UWSA Escalation Calculation:</t>
    </r>
    <r>
      <rPr>
        <sz val="10"/>
        <rFont val="Arial Narrow"/>
        <family val="2"/>
      </rPr>
      <t xml:space="preserve">  Maps content from PBW_NoInflation and PBW worksheets.</t>
    </r>
  </si>
  <si>
    <r>
      <rPr>
        <b/>
        <sz val="10"/>
        <rFont val="Arial Narrow"/>
        <family val="2"/>
      </rPr>
      <t xml:space="preserve"> READ ME:</t>
    </r>
    <r>
      <rPr>
        <sz val="10"/>
        <rFont val="Arial Narrow"/>
        <family val="2"/>
      </rPr>
      <t xml:space="preserve">  Provides Worksheet Index and some narrative directions and references to template contents and intents.</t>
    </r>
  </si>
  <si>
    <r>
      <t>Bid Date (</t>
    </r>
    <r>
      <rPr>
        <i/>
        <sz val="10"/>
        <rFont val="Arial Narrow"/>
        <family val="2"/>
      </rPr>
      <t>can be manually overwritten</t>
    </r>
    <r>
      <rPr>
        <sz val="10"/>
        <rFont val="Arial Narrow"/>
        <family val="2"/>
      </rPr>
      <t>)</t>
    </r>
  </si>
  <si>
    <t>BASE DATE</t>
  </si>
  <si>
    <t>BID DATE</t>
  </si>
  <si>
    <t>DEMOLITION (RAZING GROSS SQUARE FOOTAGE) INFORMATION [PBW WORKSHEET]</t>
  </si>
  <si>
    <t>REMODELING BY TRADE INFORMATION [PBW WORKSHEET]</t>
  </si>
  <si>
    <t>UNIT COST ESTIMATE INFORMATION [COST GUIDELINES WORKSHEET]</t>
  </si>
  <si>
    <t>INFLATION DATE UPDATE INFORMATION [QUICK INFLATION DATE UPDATE WORKSHEET]</t>
  </si>
  <si>
    <t>PROJECT REQUEST INFORMATION [PBW WORKSHEET]</t>
  </si>
  <si>
    <t>ENR Index</t>
  </si>
  <si>
    <t>KEY</t>
  </si>
  <si>
    <t>TEXT</t>
  </si>
  <si>
    <t>ACTUAL ENR INDEX VALUE (DATA ENTRY)</t>
  </si>
  <si>
    <t>ESTIMATED ENR INDEX VALUE (FORMULA)</t>
  </si>
  <si>
    <t>● Fine Arts Instructional Laboratory</t>
  </si>
  <si>
    <t>● Instructional Dry Laboratory</t>
  </si>
  <si>
    <t>● Instructional Wet Laboratory</t>
  </si>
  <si>
    <t>● Research Laboratory</t>
  </si>
  <si>
    <t>● Animal Space</t>
  </si>
  <si>
    <t>● Computer Laboratory</t>
  </si>
  <si>
    <t>● Instructional Greenhouse</t>
  </si>
  <si>
    <t>● Research Greenhouse</t>
  </si>
  <si>
    <t>● 1 story</t>
  </si>
  <si>
    <t>● 2-4 stories</t>
  </si>
  <si>
    <t>● Arena</t>
  </si>
  <si>
    <t>● Field House</t>
  </si>
  <si>
    <t>● Gymnasium/Track</t>
  </si>
  <si>
    <t>● Pool</t>
  </si>
  <si>
    <t>● Semi-Suite Doubles (Type 2)</t>
  </si>
  <si>
    <t>● Suite Style  (Type 3)</t>
  </si>
  <si>
    <t>● Animal Housing</t>
  </si>
  <si>
    <t>● Hay Storage</t>
  </si>
  <si>
    <t>● Unheated</t>
  </si>
  <si>
    <t>● Heated</t>
  </si>
  <si>
    <t>● Freestanding ramp</t>
  </si>
  <si>
    <t>● Ramp beneath building</t>
  </si>
  <si>
    <t>● Surface Lot</t>
  </si>
  <si>
    <t>NEW CONSTRUCTION &amp; REMODELING COST (from Page 1)</t>
  </si>
  <si>
    <t>DEMOLITION (from Page 2)</t>
  </si>
  <si>
    <t>ADDITIONAL CONSTRUCTION &amp; REMODELING COST (from Page 2)</t>
  </si>
  <si>
    <t>FF&amp;E: CFCI (from Page 2)</t>
  </si>
  <si>
    <t>CONSTRUCTION &amp; REMODELING COST SUBTOTAL (from Page 2)</t>
  </si>
  <si>
    <t>HAZARDOUS MATERIALS ABATEMENT (from Page 2)</t>
  </si>
  <si>
    <t>Unescalated Construction Cost Subtotal</t>
  </si>
  <si>
    <t>Escalation Factor (from Page 1)</t>
  </si>
  <si>
    <t>Basic Services (Calculated % of Construction $)</t>
  </si>
  <si>
    <t>Basic Services (Enter Direct $ for Basic A/E Fees)</t>
  </si>
  <si>
    <t>Reimbursible costs</t>
  </si>
  <si>
    <t>Pre-design</t>
  </si>
  <si>
    <t>Commissioning (Level 1 or 2)</t>
  </si>
  <si>
    <t>EIS/EIA consultant</t>
  </si>
  <si>
    <t>Construction Testing</t>
  </si>
  <si>
    <t>Testing &amp; Balancing</t>
  </si>
  <si>
    <t>Specify Additional Design Service</t>
  </si>
  <si>
    <t>Furnishings, Fixtures, &amp; Equipment (FF&amp;E) Design Fee</t>
  </si>
  <si>
    <t>Audio-Visual and Computer Equipment</t>
  </si>
  <si>
    <t>Systems Furniture</t>
  </si>
  <si>
    <t>Specify FF&amp;E Title(s), Type(s), and Budget Estimate Lump Sum</t>
  </si>
  <si>
    <t>FF&amp;E: OFCI (from #3 above)</t>
  </si>
  <si>
    <t>Specify Equipment Title(s), Type(s), and Budget Estimate Lump Sum</t>
  </si>
  <si>
    <t>Surface Treatment</t>
  </si>
  <si>
    <t>Minor</t>
  </si>
  <si>
    <t>Partial</t>
  </si>
  <si>
    <t>Complete</t>
  </si>
  <si>
    <t>Special Laboratory Needs</t>
  </si>
  <si>
    <t>Heating, Ventilating, &amp; Air Conditioning</t>
  </si>
  <si>
    <t>Electrical</t>
  </si>
  <si>
    <t>Escalation Factor (Manual Override):</t>
  </si>
  <si>
    <t>Escalation Factor (NO INFLATION OPTION)</t>
  </si>
  <si>
    <t>Furnishings, Fixtures, &amp; Equipment (FF&amp;E): Owner Furnished, Contractor Installed (OFCI)</t>
  </si>
  <si>
    <t>Sustainable/Resilient Design</t>
  </si>
  <si>
    <t>Specify Eqpt Title(s), Type(s), &amp; Budget Estimate Lump Sum</t>
  </si>
  <si>
    <t>Movable/Special Equipment (% of Construction $)</t>
  </si>
  <si>
    <t>Movable &amp; Special Equipment (% of Construction $)</t>
  </si>
  <si>
    <t>General Conditions</t>
  </si>
  <si>
    <t>DFD $/GSF</t>
  </si>
  <si>
    <r>
      <t xml:space="preserve">If programming is not done by the agency, or if extensive program verification is required, an additional 0.1% to 1.5% should be added to the fee guidance shown above. 
</t>
    </r>
    <r>
      <rPr>
        <b/>
        <sz val="10"/>
        <rFont val="Arial Narrow"/>
        <family val="2"/>
      </rPr>
      <t>High Complexity:</t>
    </r>
    <r>
      <rPr>
        <sz val="10"/>
        <rFont val="Arial Narrow"/>
        <family val="2"/>
      </rPr>
      <t xml:space="preserve"> Most complex projects both in design and detail include buildings of specialized architectural character, memorial, historic or monumental nature requiring special study or analysis and/or involve complex programs, mechanical systems, code requirements, etc. Project types include auditorium/theaters, communication buildings, extended care facilities, complex engineering projects, laboratories, historical restoration, and museums.
</t>
    </r>
    <r>
      <rPr>
        <b/>
        <sz val="10"/>
        <rFont val="Arial Narrow"/>
        <family val="2"/>
      </rPr>
      <t>Average Complexity:</t>
    </r>
    <r>
      <rPr>
        <sz val="10"/>
        <rFont val="Arial Narrow"/>
        <family val="2"/>
      </rPr>
      <t xml:space="preserve"> Project types include readiness centers, building systems, maintenance shops, firing ranges, recreational facilities, teaching laboratories, medical offices &amp; clinics, laundry facilities, office buildings, site utilities, university centers, residence halls, and child day care facilities.
</t>
    </r>
    <r>
      <rPr>
        <b/>
        <sz val="10"/>
        <rFont val="Arial Narrow"/>
        <family val="2"/>
      </rPr>
      <t>Low Complexity:</t>
    </r>
    <r>
      <rPr>
        <sz val="10"/>
        <rFont val="Arial Narrow"/>
        <family val="2"/>
      </rPr>
      <t xml:space="preserve"> Projects are simple or repetitive construction without any great degree of special finish or design effort. May include projects where equipment purchase comprises a large portion of the construction budget. Project types include asbestos removal, building envelope repairs, roofing, life safety compliance, demolition, minimum security correctional centers, park shelters, warehouse, radio/television towers, service garage, and site work.</t>
    </r>
  </si>
  <si>
    <r>
      <rPr>
        <b/>
        <sz val="10"/>
        <rFont val="Arial Narrow"/>
        <family val="2"/>
      </rPr>
      <t>New Construction Design Fee Guidance</t>
    </r>
    <r>
      <rPr>
        <sz val="10"/>
        <rFont val="Courier New"/>
        <family val="1"/>
      </rPr>
      <t xml:space="preserve">
                      Project Complexity
</t>
    </r>
    <r>
      <rPr>
        <b/>
        <sz val="10"/>
        <rFont val="Courier New"/>
        <family val="1"/>
      </rPr>
      <t>Construction Cost     HIGH |  AVG  |  LOW</t>
    </r>
    <r>
      <rPr>
        <sz val="10"/>
        <rFont val="Courier New"/>
        <family val="1"/>
      </rPr>
      <t xml:space="preserve">
</t>
    </r>
    <r>
      <rPr>
        <b/>
        <sz val="10"/>
        <rFont val="Courier New"/>
        <family val="1"/>
      </rPr>
      <t>≦ $100K:</t>
    </r>
    <r>
      <rPr>
        <sz val="10"/>
        <rFont val="Courier New"/>
        <family val="1"/>
      </rPr>
      <t xml:space="preserve">            (14.2% | 13.6% | 12.8%)
</t>
    </r>
    <r>
      <rPr>
        <b/>
        <sz val="10"/>
        <rFont val="Courier New"/>
        <family val="1"/>
      </rPr>
      <t>$100K - $500K:</t>
    </r>
    <r>
      <rPr>
        <sz val="10"/>
        <rFont val="Courier New"/>
        <family val="1"/>
      </rPr>
      <t xml:space="preserve">       (14.1% | 13.3% | 12.3%)
</t>
    </r>
    <r>
      <rPr>
        <b/>
        <sz val="10"/>
        <rFont val="Courier New"/>
        <family val="1"/>
      </rPr>
      <t>$500K - $1M:</t>
    </r>
    <r>
      <rPr>
        <sz val="10"/>
        <rFont val="Courier New"/>
        <family val="1"/>
      </rPr>
      <t xml:space="preserve">         (11.6% | 10.9% |  9.9%)
</t>
    </r>
    <r>
      <rPr>
        <b/>
        <sz val="10"/>
        <rFont val="Courier New"/>
        <family val="1"/>
      </rPr>
      <t>$1M - $2.5M:</t>
    </r>
    <r>
      <rPr>
        <sz val="10"/>
        <rFont val="Courier New"/>
        <family val="1"/>
      </rPr>
      <t xml:space="preserve">         (10.6% |  9.8% |  8.8%)
</t>
    </r>
    <r>
      <rPr>
        <b/>
        <sz val="10"/>
        <rFont val="Courier New"/>
        <family val="1"/>
      </rPr>
      <t>$2.5M - $5M:</t>
    </r>
    <r>
      <rPr>
        <sz val="10"/>
        <rFont val="Courier New"/>
        <family val="1"/>
      </rPr>
      <t xml:space="preserve">         ( 9.2% |  8.3% |  7.3%)
</t>
    </r>
    <r>
      <rPr>
        <b/>
        <sz val="10"/>
        <rFont val="Courier New"/>
        <family val="1"/>
      </rPr>
      <t>$5M - $30M:</t>
    </r>
    <r>
      <rPr>
        <sz val="10"/>
        <rFont val="Courier New"/>
        <family val="1"/>
      </rPr>
      <t xml:space="preserve">          ( 8.3% |  7.4% |  6.3%)
</t>
    </r>
    <r>
      <rPr>
        <b/>
        <sz val="10"/>
        <rFont val="Courier New"/>
        <family val="1"/>
      </rPr>
      <t>$30M - $50M:</t>
    </r>
    <r>
      <rPr>
        <sz val="10"/>
        <rFont val="Courier New"/>
        <family val="1"/>
      </rPr>
      <t xml:space="preserve">         ( 7.0% |  6.2% |  5.3%)
</t>
    </r>
    <r>
      <rPr>
        <b/>
        <sz val="10"/>
        <rFont val="Courier New"/>
        <family val="1"/>
      </rPr>
      <t xml:space="preserve">$50M+: </t>
    </r>
    <r>
      <rPr>
        <sz val="10"/>
        <rFont val="Courier New"/>
        <family val="1"/>
      </rPr>
      <t xml:space="preserve">              ( 6.1% |  5.5% |  4.7%)</t>
    </r>
  </si>
  <si>
    <r>
      <rPr>
        <b/>
        <sz val="10"/>
        <rFont val="Arial Narrow"/>
        <family val="2"/>
      </rPr>
      <t>Renovation &amp; Remodeling Design Fee Guidance</t>
    </r>
    <r>
      <rPr>
        <sz val="10"/>
        <rFont val="Courier New"/>
        <family val="1"/>
      </rPr>
      <t xml:space="preserve">
                      Project Complexity
</t>
    </r>
    <r>
      <rPr>
        <b/>
        <sz val="10"/>
        <rFont val="Courier New"/>
        <family val="1"/>
      </rPr>
      <t>Construction Cost     HIGH |  AVG  |  LOW</t>
    </r>
    <r>
      <rPr>
        <sz val="10"/>
        <rFont val="Courier New"/>
        <family val="1"/>
      </rPr>
      <t xml:space="preserve">
</t>
    </r>
    <r>
      <rPr>
        <b/>
        <sz val="10"/>
        <rFont val="Courier New"/>
        <family val="1"/>
      </rPr>
      <t xml:space="preserve">≦ $100K: </t>
    </r>
    <r>
      <rPr>
        <sz val="10"/>
        <rFont val="Courier New"/>
        <family val="1"/>
      </rPr>
      <t xml:space="preserve">           (16.0% | 14.0% | 13.0%)
</t>
    </r>
    <r>
      <rPr>
        <b/>
        <sz val="10"/>
        <rFont val="Courier New"/>
        <family val="1"/>
      </rPr>
      <t>$100K - $500K:</t>
    </r>
    <r>
      <rPr>
        <sz val="10"/>
        <rFont val="Courier New"/>
        <family val="1"/>
      </rPr>
      <t xml:space="preserve">       (14.3% | 13.5% | 12.5%)
</t>
    </r>
    <r>
      <rPr>
        <b/>
        <sz val="10"/>
        <rFont val="Courier New"/>
        <family val="1"/>
      </rPr>
      <t>$500K - $1M:</t>
    </r>
    <r>
      <rPr>
        <sz val="10"/>
        <rFont val="Courier New"/>
        <family val="1"/>
      </rPr>
      <t xml:space="preserve">         (12.0% | 11.1% | 10.1%)
</t>
    </r>
    <r>
      <rPr>
        <b/>
        <sz val="10"/>
        <rFont val="Courier New"/>
        <family val="1"/>
      </rPr>
      <t>$1M - $2.5M:</t>
    </r>
    <r>
      <rPr>
        <sz val="10"/>
        <rFont val="Courier New"/>
        <family val="1"/>
      </rPr>
      <t xml:space="preserve">         (10.9% |  9.9% |  8.9%)
</t>
    </r>
    <r>
      <rPr>
        <b/>
        <sz val="10"/>
        <rFont val="Courier New"/>
        <family val="1"/>
      </rPr>
      <t>$2.5M - $5M:</t>
    </r>
    <r>
      <rPr>
        <sz val="10"/>
        <rFont val="Courier New"/>
        <family val="1"/>
      </rPr>
      <t xml:space="preserve">         ( 9.4% |  8.5% |  7.4%)
</t>
    </r>
    <r>
      <rPr>
        <b/>
        <sz val="10"/>
        <rFont val="Courier New"/>
        <family val="1"/>
      </rPr>
      <t>$5M - $30M:</t>
    </r>
    <r>
      <rPr>
        <sz val="10"/>
        <rFont val="Courier New"/>
        <family val="1"/>
      </rPr>
      <t xml:space="preserve">          ( 8.4% |  7.5% |  6.4%)
</t>
    </r>
    <r>
      <rPr>
        <b/>
        <sz val="10"/>
        <rFont val="Courier New"/>
        <family val="1"/>
      </rPr>
      <t>$30M - $50M:</t>
    </r>
    <r>
      <rPr>
        <sz val="10"/>
        <rFont val="Courier New"/>
        <family val="1"/>
      </rPr>
      <t xml:space="preserve">         ( 7.1% |  6.3% |  5.4%)
</t>
    </r>
    <r>
      <rPr>
        <b/>
        <sz val="10"/>
        <rFont val="Courier New"/>
        <family val="1"/>
      </rPr>
      <t xml:space="preserve">$50M+: </t>
    </r>
    <r>
      <rPr>
        <sz val="10"/>
        <rFont val="Courier New"/>
        <family val="1"/>
      </rPr>
      <t xml:space="preserve">              ( 6.2% |  5.6% |  4.8%)</t>
    </r>
  </si>
  <si>
    <r>
      <rPr>
        <b/>
        <sz val="10"/>
        <rFont val="Arial Narrow"/>
        <family val="2"/>
      </rPr>
      <t>Architectural/Engineering Basic Design Fees Guidance:</t>
    </r>
    <r>
      <rPr>
        <sz val="10"/>
        <rFont val="Arial Narrow"/>
        <family val="2"/>
      </rPr>
      <t xml:space="preserve"> Current as per DFD's biennial capital budget instructions (2023-25). Outlined below for ease of reading since new Excel in-cell Comments do not allow formatted text.</t>
    </r>
  </si>
  <si>
    <t>Rev. 2023-03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</si>
</sst>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General_)"/>
    <numFmt numFmtId="165" formatCode="0.00_)"/>
    <numFmt numFmtId="166" formatCode="0.0%"/>
    <numFmt numFmtId="167" formatCode="0_)"/>
    <numFmt numFmtId="168" formatCode="[$-409]mmm\-yy;@"/>
    <numFmt numFmtId="169" formatCode="mm/dd/yy;@"/>
    <numFmt numFmtId="170" formatCode="&quot;$&quot;#,##0"/>
    <numFmt numFmtId="171" formatCode="mm/yyyy"/>
    <numFmt numFmtId="172" formatCode="_([$$-409]* #,##0_);_([$$-409]* \(#,##0\);_([$$-409]* &quot;-&quot;_);_(@_)"/>
    <numFmt numFmtId="173" formatCode="#,##0.00_ ;[Red]\-#,##0.00\ "/>
    <numFmt numFmtId="174" formatCode="0.000"/>
    <numFmt numFmtId="175" formatCode="_(&quot;$&quot;* #,##0_);_(&quot;$&quot;* \(#,##0\);_(&quot;$&quot;* &quot;-&quot;??_);_(@_)"/>
    <numFmt numFmtId="176" formatCode="_(&quot;$&quot;* #,##0.00_);_(&quot;$&quot;* \(#,##0.00\);_(&quot;$&quot;* &quot;-&quot;_);_(@_)"/>
    <numFmt numFmtId="177" formatCode="0.0000"/>
    <numFmt numFmtId="178" formatCode="0_);[Red]\(0\)"/>
    <numFmt numFmtId="179" formatCode="0.0000%"/>
    <numFmt numFmtId="180" formatCode="0.0000_);[Red]\(0.0000\)"/>
    <numFmt numFmtId="181" formatCode="0.0000_ ;[Red]\-0.0000\ "/>
    <numFmt numFmtId="182" formatCode="0.0000_)"/>
    <numFmt numFmtId="183" formatCode="#,##0.0000_);[Red]\(#,##0.0000\)"/>
    <numFmt numFmtId="184" formatCode="_(* #,##0_);_(* \(#,##0\);_(* &quot;-&quot;??_);_(@_)"/>
    <numFmt numFmtId="185" formatCode="0000"/>
    <numFmt numFmtId="186" formatCode="00"/>
    <numFmt numFmtId="187" formatCode="000000"/>
    <numFmt numFmtId="188" formatCode="0.0000000_);[Red]\(0.0000000\)"/>
    <numFmt numFmtId="189" formatCode="0.0000000"/>
  </numFmts>
  <fonts count="99">
    <font>
      <sz val="8.5"/>
      <name val="LinePrinter"/>
    </font>
    <font>
      <sz val="12"/>
      <color theme="1"/>
      <name val="Calibri"/>
      <family val="2"/>
      <scheme val="minor"/>
    </font>
    <font>
      <b/>
      <sz val="10"/>
      <name val="Arial Narrow"/>
      <family val="2"/>
    </font>
    <font>
      <i/>
      <sz val="10"/>
      <name val="Arial Narrow"/>
      <family val="2"/>
    </font>
    <font>
      <sz val="10"/>
      <name val="Arial Narrow"/>
      <family val="2"/>
    </font>
    <font>
      <sz val="8"/>
      <name val="LinePrinter"/>
    </font>
    <font>
      <sz val="8"/>
      <name val="Arial Narrow"/>
      <family val="2"/>
    </font>
    <font>
      <b/>
      <sz val="8"/>
      <name val="Arial Narrow"/>
      <family val="2"/>
    </font>
    <font>
      <sz val="8"/>
      <color indexed="12"/>
      <name val="Arial Narrow"/>
      <family val="2"/>
    </font>
    <font>
      <u/>
      <sz val="8"/>
      <name val="Arial Narrow"/>
      <family val="2"/>
    </font>
    <font>
      <b/>
      <sz val="12"/>
      <name val="Arial Narrow"/>
      <family val="2"/>
    </font>
    <font>
      <b/>
      <sz val="12"/>
      <color indexed="9"/>
      <name val="Arial Narrow"/>
      <family val="2"/>
    </font>
    <font>
      <sz val="10"/>
      <color indexed="10"/>
      <name val="Arial Narrow"/>
      <family val="2"/>
    </font>
    <font>
      <sz val="8.5"/>
      <name val="LinePrinter"/>
    </font>
    <font>
      <sz val="10"/>
      <color indexed="8"/>
      <name val="Arial"/>
      <family val="2"/>
    </font>
    <font>
      <sz val="10"/>
      <color indexed="9"/>
      <name val="Arial"/>
      <family val="2"/>
    </font>
    <font>
      <sz val="10"/>
      <color indexed="20"/>
      <name val="Arial"/>
      <family val="2"/>
    </font>
    <font>
      <b/>
      <sz val="10"/>
      <color indexed="5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0"/>
      <name val="Arial"/>
      <family val="2"/>
    </font>
    <font>
      <sz val="10"/>
      <color indexed="5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u/>
      <sz val="8.5"/>
      <color theme="10"/>
      <name val="LinePrinter"/>
    </font>
    <font>
      <u/>
      <sz val="8.5"/>
      <color theme="11"/>
      <name val="LinePrinter"/>
    </font>
    <font>
      <sz val="8"/>
      <color rgb="FF0000FF"/>
      <name val="Arial Narrow"/>
      <family val="2"/>
    </font>
    <font>
      <sz val="10"/>
      <color rgb="FF0000FF"/>
      <name val="Arial Narrow"/>
      <family val="2"/>
    </font>
    <font>
      <sz val="8"/>
      <color theme="1"/>
      <name val="Arial Narrow"/>
      <family val="2"/>
    </font>
    <font>
      <b/>
      <sz val="8"/>
      <color rgb="FFC00000"/>
      <name val="Arial Narrow"/>
      <family val="2"/>
    </font>
    <font>
      <sz val="8"/>
      <color rgb="FFC00000"/>
      <name val="Arial Narrow"/>
      <family val="2"/>
    </font>
    <font>
      <sz val="10"/>
      <color rgb="FFC00000"/>
      <name val="Arial Narrow"/>
      <family val="2"/>
    </font>
    <font>
      <b/>
      <sz val="10"/>
      <color rgb="FFAC1B5A"/>
      <name val="Arial Narrow"/>
      <family val="2"/>
    </font>
    <font>
      <sz val="10"/>
      <color rgb="FF0070C0"/>
      <name val="Arial Narrow"/>
      <family val="2"/>
    </font>
    <font>
      <u/>
      <sz val="10"/>
      <name val="Arial Narrow"/>
      <family val="2"/>
    </font>
    <font>
      <sz val="10"/>
      <color theme="0"/>
      <name val="Arial Narrow"/>
      <family val="2"/>
    </font>
    <font>
      <b/>
      <sz val="10"/>
      <color rgb="FFC00000"/>
      <name val="Arial Narrow"/>
      <family val="2"/>
    </font>
    <font>
      <b/>
      <sz val="10"/>
      <color theme="0"/>
      <name val="Times New Roman"/>
      <family val="1"/>
    </font>
    <font>
      <sz val="8.5"/>
      <color theme="0"/>
      <name val="LinePrinter"/>
    </font>
    <font>
      <sz val="10"/>
      <color theme="0"/>
      <name val="Times New Roman"/>
      <family val="1"/>
    </font>
    <font>
      <sz val="8"/>
      <color theme="0" tint="-0.34998626667073579"/>
      <name val="Arial Narrow"/>
      <family val="2"/>
    </font>
    <font>
      <b/>
      <u/>
      <sz val="10"/>
      <color rgb="FFC00000"/>
      <name val="Arial Narrow"/>
      <family val="2"/>
    </font>
    <font>
      <sz val="8.5"/>
      <name val="Arial Narrow"/>
      <family val="2"/>
    </font>
    <font>
      <b/>
      <u/>
      <sz val="10"/>
      <name val="Arial Narrow"/>
      <family val="2"/>
    </font>
    <font>
      <sz val="10"/>
      <color theme="0" tint="-0.34998626667073579"/>
      <name val="Arial Narrow"/>
      <family val="2"/>
    </font>
    <font>
      <b/>
      <sz val="10"/>
      <color theme="0" tint="-0.34998626667073579"/>
      <name val="Arial Narrow"/>
      <family val="2"/>
    </font>
    <font>
      <b/>
      <u/>
      <sz val="10"/>
      <color theme="0" tint="-0.34998626667073579"/>
      <name val="Arial Narrow"/>
      <family val="2"/>
    </font>
    <font>
      <u/>
      <sz val="8"/>
      <color theme="0" tint="-0.34998626667073579"/>
      <name val="Arial Narrow"/>
      <family val="2"/>
    </font>
    <font>
      <b/>
      <sz val="8"/>
      <color theme="0"/>
      <name val="Arial Narrow"/>
      <family val="2"/>
    </font>
    <font>
      <sz val="8"/>
      <color theme="0"/>
      <name val="Arial Narrow"/>
      <family val="2"/>
    </font>
    <font>
      <sz val="10"/>
      <color theme="0" tint="-0.499984740745262"/>
      <name val="Arial Narrow"/>
      <family val="2"/>
    </font>
    <font>
      <sz val="8"/>
      <color rgb="FF7030A0"/>
      <name val="Arial Narrow"/>
      <family val="2"/>
    </font>
    <font>
      <b/>
      <sz val="8"/>
      <color rgb="FF7030A0"/>
      <name val="Arial Narrow"/>
      <family val="2"/>
    </font>
    <font>
      <sz val="11"/>
      <color theme="1"/>
      <name val="Calibri"/>
      <family val="2"/>
      <scheme val="minor"/>
    </font>
    <font>
      <b/>
      <sz val="14"/>
      <color theme="1"/>
      <name val="Arial Narrow"/>
      <family val="2"/>
    </font>
    <font>
      <sz val="11"/>
      <color theme="1"/>
      <name val="Arial Narrow"/>
      <family val="2"/>
    </font>
    <font>
      <u/>
      <sz val="11"/>
      <color theme="1"/>
      <name val="Arial Narrow"/>
      <family val="2"/>
    </font>
    <font>
      <sz val="11"/>
      <color theme="0" tint="-0.499984740745262"/>
      <name val="Arial Narrow"/>
      <family val="2"/>
    </font>
    <font>
      <b/>
      <sz val="11"/>
      <color theme="1"/>
      <name val="Arial Narrow"/>
      <family val="2"/>
    </font>
    <font>
      <sz val="11"/>
      <name val="Arial Narrow"/>
      <family val="2"/>
    </font>
    <font>
      <sz val="11"/>
      <color rgb="FF7030A0"/>
      <name val="Arial Narrow"/>
      <family val="2"/>
    </font>
    <font>
      <sz val="11"/>
      <color theme="5"/>
      <name val="Arial Narrow"/>
      <family val="2"/>
    </font>
    <font>
      <sz val="14"/>
      <color theme="1"/>
      <name val="Cambria"/>
      <family val="2"/>
      <scheme val="major"/>
    </font>
    <font>
      <sz val="11"/>
      <name val="Calibri"/>
      <family val="2"/>
      <scheme val="minor"/>
    </font>
    <font>
      <i/>
      <sz val="11"/>
      <color theme="1"/>
      <name val="Calibri"/>
      <family val="2"/>
      <scheme val="minor"/>
    </font>
    <font>
      <b/>
      <sz val="11"/>
      <color theme="1"/>
      <name val="Calibri"/>
      <family val="2"/>
      <scheme val="minor"/>
    </font>
    <font>
      <sz val="14"/>
      <color theme="1"/>
      <name val="Calibri"/>
      <family val="2"/>
      <scheme val="minor"/>
    </font>
    <font>
      <b/>
      <sz val="8"/>
      <color theme="1"/>
      <name val="Arial Narrow"/>
      <family val="2"/>
    </font>
    <font>
      <b/>
      <sz val="10"/>
      <color theme="2" tint="-0.749992370372631"/>
      <name val="Arial Narrow"/>
      <family val="2"/>
    </font>
    <font>
      <sz val="10"/>
      <color theme="1"/>
      <name val="Arial Narrow"/>
      <family val="2"/>
    </font>
    <font>
      <b/>
      <sz val="10"/>
      <color theme="1"/>
      <name val="Arial Narrow"/>
      <family val="2"/>
    </font>
    <font>
      <sz val="8"/>
      <color theme="0" tint="-0.499984740745262"/>
      <name val="Arial Narrow"/>
      <family val="2"/>
    </font>
    <font>
      <sz val="8"/>
      <color theme="2" tint="-0.249977111117893"/>
      <name val="Arial Narrow"/>
      <family val="2"/>
    </font>
    <font>
      <sz val="10"/>
      <color theme="2" tint="-0.249977111117893"/>
      <name val="Arial Narrow"/>
      <family val="2"/>
    </font>
    <font>
      <b/>
      <sz val="8"/>
      <color theme="2" tint="-0.499984740745262"/>
      <name val="Arial Narrow"/>
      <family val="2"/>
    </font>
    <font>
      <b/>
      <sz val="10"/>
      <color theme="2" tint="-0.499984740745262"/>
      <name val="Arial Narrow"/>
      <family val="2"/>
    </font>
    <font>
      <sz val="8"/>
      <color theme="5" tint="0.59999389629810485"/>
      <name val="Arial Narrow"/>
      <family val="2"/>
    </font>
    <font>
      <sz val="10"/>
      <color theme="5" tint="0.59999389629810485"/>
      <name val="Arial Narrow"/>
      <family val="2"/>
    </font>
    <font>
      <b/>
      <sz val="8"/>
      <color theme="5" tint="0.39997558519241921"/>
      <name val="Arial Narrow"/>
      <family val="2"/>
    </font>
    <font>
      <b/>
      <sz val="10"/>
      <color theme="5" tint="0.39997558519241921"/>
      <name val="Arial Narrow"/>
      <family val="2"/>
    </font>
    <font>
      <b/>
      <sz val="8"/>
      <color rgb="FFBA8B00"/>
      <name val="Arial Narrow"/>
      <family val="2"/>
    </font>
    <font>
      <b/>
      <sz val="10"/>
      <color rgb="FFBA8B00"/>
      <name val="Arial Narrow"/>
      <family val="2"/>
    </font>
    <font>
      <sz val="8"/>
      <color rgb="FFF8BA00"/>
      <name val="Arial Narrow"/>
      <family val="2"/>
    </font>
    <font>
      <sz val="10"/>
      <color rgb="FFF8BA00"/>
      <name val="Arial Narrow"/>
      <family val="2"/>
    </font>
    <font>
      <b/>
      <sz val="10"/>
      <color theme="5"/>
      <name val="Arial Narrow"/>
      <family val="2"/>
    </font>
    <font>
      <sz val="8"/>
      <color theme="5" tint="0.39997558519241921"/>
      <name val="Arial Narrow"/>
      <family val="2"/>
    </font>
    <font>
      <sz val="10"/>
      <color theme="5" tint="0.39997558519241921"/>
      <name val="Arial Narrow"/>
      <family val="2"/>
    </font>
    <font>
      <b/>
      <u/>
      <sz val="10"/>
      <color theme="1"/>
      <name val="Arial Narrow"/>
      <family val="2"/>
    </font>
    <font>
      <sz val="10"/>
      <color theme="1" tint="0.499984740745262"/>
      <name val="Arial Narrow"/>
      <family val="2"/>
    </font>
    <font>
      <sz val="10"/>
      <name val="Courier New"/>
      <family val="1"/>
    </font>
    <font>
      <b/>
      <sz val="10"/>
      <name val="Courier New"/>
      <family val="1"/>
    </font>
    <font>
      <sz val="10"/>
      <name val="Courier New"/>
      <family val="2"/>
    </font>
  </fonts>
  <fills count="44">
    <fill>
      <patternFill patternType="none"/>
    </fill>
    <fill>
      <patternFill patternType="gray125"/>
    </fill>
    <fill>
      <patternFill patternType="solid">
        <fgColor indexed="44"/>
      </patternFill>
    </fill>
    <fill>
      <patternFill patternType="solid">
        <fgColor indexed="45"/>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22"/>
      </patternFill>
    </fill>
    <fill>
      <patternFill patternType="solid">
        <fgColor indexed="29"/>
      </patternFill>
    </fill>
    <fill>
      <patternFill patternType="solid">
        <fgColor indexed="53"/>
      </patternFill>
    </fill>
    <fill>
      <patternFill patternType="solid">
        <fgColor indexed="56"/>
      </patternFill>
    </fill>
    <fill>
      <patternFill patternType="solid">
        <fgColor indexed="19"/>
      </patternFill>
    </fill>
    <fill>
      <patternFill patternType="solid">
        <fgColor indexed="57"/>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theme="0" tint="-0.14999847407452621"/>
        <bgColor indexed="64"/>
      </patternFill>
    </fill>
    <fill>
      <patternFill patternType="solid">
        <fgColor rgb="FFFFFF00"/>
        <bgColor indexed="64"/>
      </patternFill>
    </fill>
    <fill>
      <patternFill patternType="solid">
        <fgColor rgb="FFC00000"/>
        <bgColor indexed="64"/>
      </patternFill>
    </fill>
    <fill>
      <patternFill patternType="solid">
        <fgColor theme="5" tint="0.79998168889431442"/>
        <bgColor indexed="64"/>
      </patternFill>
    </fill>
    <fill>
      <patternFill patternType="solid">
        <fgColor theme="5" tint="0.79998168889431442"/>
        <bgColor indexed="8"/>
      </patternFill>
    </fill>
    <fill>
      <patternFill patternType="solid">
        <fgColor theme="5"/>
        <bgColor indexed="64"/>
      </patternFill>
    </fill>
    <fill>
      <patternFill patternType="solid">
        <fgColor theme="5" tint="0.79998168889431442"/>
        <bgColor rgb="FF000000"/>
      </patternFill>
    </fill>
    <fill>
      <patternFill patternType="solid">
        <fgColor theme="1"/>
        <bgColor indexed="64"/>
      </patternFill>
    </fill>
    <fill>
      <patternFill patternType="solid">
        <fgColor theme="0" tint="-0.14999847407452621"/>
        <bgColor indexed="8"/>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649664"/>
        <bgColor indexed="64"/>
      </patternFill>
    </fill>
    <fill>
      <patternFill patternType="solid">
        <fgColor rgb="FFFAFA64"/>
        <bgColor indexed="64"/>
      </patternFill>
    </fill>
    <fill>
      <patternFill patternType="solid">
        <fgColor rgb="FFFA9600"/>
        <bgColor indexed="64"/>
      </patternFill>
    </fill>
    <fill>
      <patternFill patternType="solid">
        <fgColor rgb="FF326496"/>
        <bgColor indexed="64"/>
      </patternFill>
    </fill>
    <fill>
      <patternFill patternType="solid">
        <fgColor rgb="FF9696C8"/>
        <bgColor indexed="64"/>
      </patternFill>
    </fill>
    <fill>
      <patternFill patternType="solid">
        <fgColor rgb="FFC8323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C6992"/>
        <bgColor indexed="64"/>
      </patternFill>
    </fill>
    <fill>
      <patternFill patternType="solid">
        <fgColor theme="1" tint="0.249977111117893"/>
        <bgColor indexed="64"/>
      </patternFill>
    </fill>
    <fill>
      <patternFill patternType="solid">
        <fgColor rgb="FFFFD761"/>
        <bgColor indexed="64"/>
      </patternFill>
    </fill>
  </fills>
  <borders count="7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right/>
      <top/>
      <bottom style="medium">
        <color auto="1"/>
      </bottom>
      <diagonal/>
    </border>
    <border>
      <left style="thin">
        <color indexed="8"/>
      </left>
      <right style="thin">
        <color indexed="8"/>
      </right>
      <top style="thin">
        <color indexed="8"/>
      </top>
      <bottom/>
      <diagonal/>
    </border>
    <border>
      <left style="thin">
        <color auto="1"/>
      </left>
      <right style="thin">
        <color auto="1"/>
      </right>
      <top/>
      <bottom/>
      <diagonal/>
    </border>
    <border>
      <left style="thin">
        <color indexed="8"/>
      </left>
      <right style="thin">
        <color indexed="8"/>
      </right>
      <top/>
      <bottom style="thin">
        <color auto="1"/>
      </bottom>
      <diagonal/>
    </border>
    <border>
      <left/>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bottom/>
      <diagonal/>
    </border>
    <border>
      <left/>
      <right style="thin">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50"/>
      </bottom>
      <diagonal/>
    </border>
    <border>
      <left style="thin">
        <color indexed="53"/>
      </left>
      <right style="thin">
        <color indexed="53"/>
      </right>
      <top style="thin">
        <color indexed="53"/>
      </top>
      <bottom style="thin">
        <color indexed="53"/>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auto="1"/>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style="thin">
        <color indexed="64"/>
      </top>
      <bottom/>
      <diagonal/>
    </border>
    <border>
      <left style="thin">
        <color indexed="64"/>
      </left>
      <right style="thin">
        <color indexed="64"/>
      </right>
      <top/>
      <bottom/>
      <diagonal/>
    </border>
    <border>
      <left style="thin">
        <color auto="1"/>
      </left>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style="thin">
        <color indexed="64"/>
      </top>
      <bottom/>
      <diagonal/>
    </border>
    <border>
      <left/>
      <right/>
      <top style="thin">
        <color indexed="64"/>
      </top>
      <bottom/>
      <diagonal/>
    </border>
    <border>
      <left style="thin">
        <color auto="1"/>
      </left>
      <right/>
      <top/>
      <bottom style="thin">
        <color indexed="64"/>
      </bottom>
      <diagonal/>
    </border>
    <border>
      <left/>
      <right style="thin">
        <color auto="1"/>
      </right>
      <top/>
      <bottom style="thin">
        <color indexed="64"/>
      </bottom>
      <diagonal/>
    </border>
    <border>
      <left/>
      <right style="thin">
        <color theme="0" tint="-0.24994659260841701"/>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indexed="8"/>
      </bottom>
      <diagonal/>
    </border>
    <border>
      <left/>
      <right/>
      <top/>
      <bottom style="thin">
        <color auto="1"/>
      </bottom>
      <diagonal/>
    </border>
    <border>
      <left/>
      <right style="thin">
        <color indexed="64"/>
      </right>
      <top style="thin">
        <color indexed="64"/>
      </top>
      <bottom/>
      <diagonal/>
    </border>
    <border>
      <left style="medium">
        <color theme="1"/>
      </left>
      <right style="medium">
        <color theme="1"/>
      </right>
      <top style="medium">
        <color theme="1"/>
      </top>
      <bottom style="medium">
        <color theme="1"/>
      </bottom>
      <diagonal/>
    </border>
    <border>
      <left style="thin">
        <color auto="1"/>
      </left>
      <right style="thin">
        <color auto="1"/>
      </right>
      <top style="thin">
        <color indexed="64"/>
      </top>
      <bottom style="hair">
        <color auto="1"/>
      </bottom>
      <diagonal/>
    </border>
    <border>
      <left/>
      <right/>
      <top style="thin">
        <color indexed="64"/>
      </top>
      <bottom style="thin">
        <color indexed="64"/>
      </bottom>
      <diagonal/>
    </border>
    <border>
      <left style="thin">
        <color auto="1"/>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indexed="64"/>
      </top>
      <bottom/>
      <diagonal/>
    </border>
    <border>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64"/>
      </right>
      <top/>
      <bottom/>
      <diagonal/>
    </border>
    <border>
      <left style="thin">
        <color indexed="8"/>
      </left>
      <right style="thin">
        <color indexed="64"/>
      </right>
      <top style="thin">
        <color indexed="8"/>
      </top>
      <bottom style="thin">
        <color indexed="8"/>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348">
    <xf numFmtId="164"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7" fillId="5" borderId="18" applyNumberFormat="0" applyAlignment="0" applyProtection="0"/>
    <xf numFmtId="0" fontId="18" fillId="10" borderId="19" applyNumberFormat="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0" borderId="20" applyNumberFormat="0" applyFill="0" applyAlignment="0" applyProtection="0"/>
    <xf numFmtId="0" fontId="22" fillId="0" borderId="21"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xf numFmtId="0" fontId="24" fillId="7" borderId="18" applyNumberFormat="0" applyAlignment="0" applyProtection="0"/>
    <xf numFmtId="0" fontId="25" fillId="0" borderId="23" applyNumberFormat="0" applyFill="0" applyAlignment="0" applyProtection="0"/>
    <xf numFmtId="0" fontId="26" fillId="7" borderId="0" applyNumberFormat="0" applyBorder="0" applyAlignment="0" applyProtection="0"/>
    <xf numFmtId="0" fontId="13" fillId="4" borderId="24" applyNumberFormat="0" applyFont="0" applyAlignment="0" applyProtection="0"/>
    <xf numFmtId="0" fontId="27" fillId="5" borderId="25" applyNumberFormat="0" applyAlignment="0" applyProtection="0"/>
    <xf numFmtId="0" fontId="28" fillId="0" borderId="0" applyNumberFormat="0" applyFill="0" applyBorder="0" applyAlignment="0" applyProtection="0"/>
    <xf numFmtId="0" fontId="29" fillId="0" borderId="26" applyNumberFormat="0" applyFill="0" applyAlignment="0" applyProtection="0"/>
    <xf numFmtId="0" fontId="30"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9" fontId="13" fillId="0" borderId="0" applyFon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164" fontId="31" fillId="0" borderId="0" applyNumberFormat="0" applyFill="0" applyBorder="0" applyAlignment="0" applyProtection="0"/>
    <xf numFmtId="164" fontId="32" fillId="0" borderId="0" applyNumberFormat="0" applyFill="0" applyBorder="0" applyAlignment="0" applyProtection="0"/>
    <xf numFmtId="0" fontId="60" fillId="0" borderId="0"/>
    <xf numFmtId="43" fontId="60" fillId="0" borderId="0" applyFont="0" applyFill="0" applyBorder="0" applyAlignment="0" applyProtection="0"/>
    <xf numFmtId="9" fontId="60" fillId="0" borderId="0" applyFont="0" applyFill="0" applyBorder="0" applyAlignment="0" applyProtection="0"/>
    <xf numFmtId="0" fontId="1" fillId="0" borderId="0"/>
    <xf numFmtId="9" fontId="1" fillId="0" borderId="0" applyFont="0" applyFill="0" applyBorder="0" applyAlignment="0" applyProtection="0"/>
  </cellStyleXfs>
  <cellXfs count="614">
    <xf numFmtId="164" fontId="0" fillId="0" borderId="0" xfId="0"/>
    <xf numFmtId="164" fontId="6" fillId="0" borderId="0" xfId="0" applyFont="1" applyAlignment="1">
      <alignment horizontal="left"/>
    </xf>
    <xf numFmtId="164" fontId="7" fillId="0" borderId="0" xfId="0" applyFont="1" applyAlignment="1">
      <alignment horizontal="left"/>
    </xf>
    <xf numFmtId="37" fontId="6" fillId="0" borderId="0" xfId="0" applyNumberFormat="1" applyFont="1"/>
    <xf numFmtId="10" fontId="6" fillId="0" borderId="0" xfId="0" applyNumberFormat="1" applyFont="1"/>
    <xf numFmtId="164" fontId="6" fillId="0" borderId="0" xfId="0" applyFont="1"/>
    <xf numFmtId="6" fontId="6" fillId="0" borderId="0" xfId="0" applyNumberFormat="1" applyFont="1"/>
    <xf numFmtId="164" fontId="7" fillId="0" borderId="0" xfId="0" applyFont="1" applyAlignment="1">
      <alignment horizontal="right"/>
    </xf>
    <xf numFmtId="164" fontId="8" fillId="0" borderId="0" xfId="0" applyFont="1"/>
    <xf numFmtId="37" fontId="8" fillId="0" borderId="0" xfId="0" applyNumberFormat="1" applyFont="1"/>
    <xf numFmtId="164" fontId="6" fillId="0" borderId="9" xfId="0" applyFont="1" applyBorder="1"/>
    <xf numFmtId="164" fontId="7" fillId="0" borderId="0" xfId="0" applyFont="1"/>
    <xf numFmtId="164" fontId="6" fillId="0" borderId="0" xfId="0" applyFont="1" applyAlignment="1">
      <alignment horizontal="right"/>
    </xf>
    <xf numFmtId="164" fontId="9" fillId="0" borderId="0" xfId="0" applyFont="1" applyAlignment="1">
      <alignment horizontal="left"/>
    </xf>
    <xf numFmtId="164" fontId="9" fillId="0" borderId="0" xfId="0" applyFont="1" applyAlignment="1">
      <alignment horizontal="right"/>
    </xf>
    <xf numFmtId="165" fontId="6" fillId="0" borderId="0" xfId="0" applyNumberFormat="1" applyFont="1"/>
    <xf numFmtId="3" fontId="6" fillId="0" borderId="0" xfId="0" applyNumberFormat="1" applyFont="1"/>
    <xf numFmtId="37" fontId="7" fillId="0" borderId="0" xfId="0" applyNumberFormat="1" applyFont="1"/>
    <xf numFmtId="164" fontId="8" fillId="0" borderId="0" xfId="0" applyFont="1" applyAlignment="1">
      <alignment horizontal="left"/>
    </xf>
    <xf numFmtId="166" fontId="8" fillId="0" borderId="0" xfId="0" applyNumberFormat="1" applyFont="1"/>
    <xf numFmtId="164" fontId="6" fillId="0" borderId="0" xfId="0" quotePrefix="1" applyFont="1" applyAlignment="1">
      <alignment horizontal="left" indent="2"/>
    </xf>
    <xf numFmtId="9" fontId="6" fillId="0" borderId="0" xfId="0" applyNumberFormat="1" applyFont="1"/>
    <xf numFmtId="167" fontId="8" fillId="0" borderId="0" xfId="0" applyNumberFormat="1" applyFont="1"/>
    <xf numFmtId="49" fontId="6" fillId="0" borderId="0" xfId="0" applyNumberFormat="1" applyFont="1"/>
    <xf numFmtId="164" fontId="6" fillId="0" borderId="5" xfId="0" applyFont="1" applyBorder="1" applyAlignment="1">
      <alignment horizontal="right"/>
    </xf>
    <xf numFmtId="169" fontId="6" fillId="0" borderId="4" xfId="0" applyNumberFormat="1" applyFont="1" applyBorder="1" applyAlignment="1">
      <alignment horizontal="right"/>
    </xf>
    <xf numFmtId="164" fontId="6" fillId="0" borderId="4" xfId="0" applyFont="1" applyBorder="1" applyAlignment="1">
      <alignment horizontal="right"/>
    </xf>
    <xf numFmtId="170" fontId="6" fillId="0" borderId="0" xfId="0" applyNumberFormat="1" applyFont="1"/>
    <xf numFmtId="38" fontId="6" fillId="0" borderId="0" xfId="0" applyNumberFormat="1" applyFont="1"/>
    <xf numFmtId="170" fontId="7" fillId="0" borderId="0" xfId="0" applyNumberFormat="1" applyFont="1"/>
    <xf numFmtId="166" fontId="6" fillId="0" borderId="0" xfId="0" applyNumberFormat="1" applyFont="1"/>
    <xf numFmtId="38" fontId="7" fillId="0" borderId="0" xfId="0" applyNumberFormat="1" applyFont="1"/>
    <xf numFmtId="42" fontId="6" fillId="0" borderId="0" xfId="0" applyNumberFormat="1" applyFont="1"/>
    <xf numFmtId="164" fontId="4" fillId="0" borderId="0" xfId="0" applyFont="1"/>
    <xf numFmtId="164" fontId="7" fillId="0" borderId="0" xfId="0" applyFont="1" applyAlignment="1">
      <alignment horizontal="center"/>
    </xf>
    <xf numFmtId="38" fontId="8" fillId="0" borderId="0" xfId="0" applyNumberFormat="1" applyFont="1"/>
    <xf numFmtId="171" fontId="6" fillId="0" borderId="0" xfId="0" applyNumberFormat="1" applyFont="1" applyAlignment="1">
      <alignment horizontal="right"/>
    </xf>
    <xf numFmtId="38" fontId="6" fillId="0" borderId="5" xfId="0" applyNumberFormat="1" applyFont="1" applyBorder="1"/>
    <xf numFmtId="164" fontId="6" fillId="0" borderId="0" xfId="0" applyFont="1" applyAlignment="1">
      <alignment horizontal="center"/>
    </xf>
    <xf numFmtId="164" fontId="33" fillId="0" borderId="0" xfId="0" applyFont="1" applyAlignment="1">
      <alignment horizontal="left" indent="1" shrinkToFit="1"/>
    </xf>
    <xf numFmtId="164" fontId="33" fillId="0" borderId="0" xfId="0" applyFont="1" applyAlignment="1">
      <alignment horizontal="left" shrinkToFit="1"/>
    </xf>
    <xf numFmtId="40" fontId="33" fillId="0" borderId="0" xfId="0" applyNumberFormat="1" applyFont="1"/>
    <xf numFmtId="164" fontId="33" fillId="0" borderId="0" xfId="0" applyFont="1" applyAlignment="1">
      <alignment horizontal="left"/>
    </xf>
    <xf numFmtId="42" fontId="33" fillId="0" borderId="0" xfId="0" applyNumberFormat="1" applyFont="1"/>
    <xf numFmtId="164" fontId="35" fillId="0" borderId="0" xfId="0" applyFont="1" applyAlignment="1">
      <alignment horizontal="left" indent="1" shrinkToFit="1"/>
    </xf>
    <xf numFmtId="174" fontId="6" fillId="0" borderId="0" xfId="0" applyNumberFormat="1" applyFont="1"/>
    <xf numFmtId="38" fontId="37" fillId="0" borderId="6" xfId="0" applyNumberFormat="1" applyFont="1" applyBorder="1" applyProtection="1">
      <protection locked="0"/>
    </xf>
    <xf numFmtId="38" fontId="37" fillId="0" borderId="8" xfId="0" applyNumberFormat="1" applyFont="1" applyBorder="1" applyProtection="1">
      <protection locked="0"/>
    </xf>
    <xf numFmtId="169" fontId="37" fillId="0" borderId="4" xfId="0" applyNumberFormat="1" applyFont="1" applyBorder="1" applyProtection="1">
      <protection locked="0"/>
    </xf>
    <xf numFmtId="164" fontId="37" fillId="0" borderId="5" xfId="0" applyFont="1" applyBorder="1" applyAlignment="1" applyProtection="1">
      <alignment horizontal="right"/>
      <protection locked="0"/>
    </xf>
    <xf numFmtId="164" fontId="37" fillId="0" borderId="4" xfId="0" applyFont="1" applyBorder="1" applyAlignment="1" applyProtection="1">
      <alignment horizontal="right"/>
      <protection locked="0"/>
    </xf>
    <xf numFmtId="164" fontId="37" fillId="0" borderId="11" xfId="0" applyFont="1" applyBorder="1" applyAlignment="1" applyProtection="1">
      <alignment horizontal="left"/>
      <protection locked="0"/>
    </xf>
    <xf numFmtId="38" fontId="37" fillId="0" borderId="30" xfId="0" applyNumberFormat="1" applyFont="1" applyBorder="1" applyProtection="1">
      <protection locked="0"/>
    </xf>
    <xf numFmtId="38" fontId="37" fillId="0" borderId="32" xfId="0" applyNumberFormat="1" applyFont="1" applyBorder="1" applyProtection="1">
      <protection locked="0"/>
    </xf>
    <xf numFmtId="38" fontId="37" fillId="0" borderId="33" xfId="0" applyNumberFormat="1" applyFont="1" applyBorder="1" applyProtection="1">
      <protection locked="0"/>
    </xf>
    <xf numFmtId="38" fontId="37" fillId="0" borderId="34" xfId="0" applyNumberFormat="1" applyFont="1" applyBorder="1" applyProtection="1">
      <protection locked="0"/>
    </xf>
    <xf numFmtId="40" fontId="37" fillId="0" borderId="4" xfId="0" applyNumberFormat="1" applyFont="1" applyBorder="1" applyProtection="1">
      <protection locked="0"/>
    </xf>
    <xf numFmtId="42" fontId="37" fillId="0" borderId="4" xfId="0" applyNumberFormat="1" applyFont="1" applyBorder="1" applyProtection="1">
      <protection locked="0"/>
    </xf>
    <xf numFmtId="42" fontId="7" fillId="0" borderId="0" xfId="0" applyNumberFormat="1" applyFont="1"/>
    <xf numFmtId="164" fontId="6" fillId="0" borderId="4" xfId="0" applyFont="1" applyBorder="1" applyAlignment="1">
      <alignment horizontal="center"/>
    </xf>
    <xf numFmtId="175" fontId="6" fillId="0" borderId="0" xfId="0" applyNumberFormat="1" applyFont="1"/>
    <xf numFmtId="164" fontId="37" fillId="0" borderId="4" xfId="0" applyFont="1" applyBorder="1" applyAlignment="1" applyProtection="1">
      <alignment horizontal="center"/>
      <protection locked="0"/>
    </xf>
    <xf numFmtId="176" fontId="37" fillId="0" borderId="5" xfId="0" applyNumberFormat="1" applyFont="1" applyBorder="1" applyProtection="1">
      <protection locked="0"/>
    </xf>
    <xf numFmtId="176" fontId="37" fillId="0" borderId="6" xfId="0" applyNumberFormat="1" applyFont="1" applyBorder="1" applyProtection="1">
      <protection locked="0"/>
    </xf>
    <xf numFmtId="176" fontId="37" fillId="0" borderId="11" xfId="0" applyNumberFormat="1" applyFont="1" applyBorder="1" applyProtection="1">
      <protection locked="0"/>
    </xf>
    <xf numFmtId="176" fontId="6" fillId="0" borderId="0" xfId="0" applyNumberFormat="1" applyFont="1"/>
    <xf numFmtId="166" fontId="6" fillId="0" borderId="13" xfId="0" applyNumberFormat="1" applyFont="1" applyBorder="1"/>
    <xf numFmtId="42" fontId="4" fillId="0" borderId="0" xfId="0" applyNumberFormat="1" applyFont="1"/>
    <xf numFmtId="164" fontId="2" fillId="0" borderId="0" xfId="0" applyFont="1"/>
    <xf numFmtId="42" fontId="4" fillId="0" borderId="36" xfId="0" applyNumberFormat="1" applyFont="1" applyBorder="1"/>
    <xf numFmtId="40" fontId="4" fillId="0" borderId="0" xfId="0" applyNumberFormat="1" applyFont="1"/>
    <xf numFmtId="42" fontId="2" fillId="0" borderId="37" xfId="0" applyNumberFormat="1" applyFont="1" applyBorder="1"/>
    <xf numFmtId="177" fontId="6" fillId="0" borderId="0" xfId="0" applyNumberFormat="1" applyFont="1"/>
    <xf numFmtId="179" fontId="6" fillId="0" borderId="0" xfId="274" applyNumberFormat="1" applyFont="1" applyProtection="1"/>
    <xf numFmtId="179" fontId="6" fillId="0" borderId="0" xfId="0" applyNumberFormat="1" applyFont="1"/>
    <xf numFmtId="179" fontId="37" fillId="0" borderId="4" xfId="0" applyNumberFormat="1" applyFont="1" applyBorder="1" applyProtection="1">
      <protection locked="0"/>
    </xf>
    <xf numFmtId="180" fontId="4" fillId="0" borderId="0" xfId="0" applyNumberFormat="1" applyFont="1"/>
    <xf numFmtId="171" fontId="4" fillId="0" borderId="0" xfId="0" applyNumberFormat="1" applyFont="1"/>
    <xf numFmtId="179" fontId="4" fillId="0" borderId="0" xfId="0" applyNumberFormat="1" applyFont="1"/>
    <xf numFmtId="164" fontId="41" fillId="0" borderId="0" xfId="0" applyFont="1"/>
    <xf numFmtId="164" fontId="2" fillId="0" borderId="0" xfId="0" applyFont="1" applyAlignment="1">
      <alignment horizontal="right"/>
    </xf>
    <xf numFmtId="0" fontId="4" fillId="0" borderId="0" xfId="0" applyNumberFormat="1" applyFont="1" applyAlignment="1">
      <alignment horizontal="right"/>
    </xf>
    <xf numFmtId="171" fontId="38" fillId="19" borderId="35" xfId="0" applyNumberFormat="1" applyFont="1" applyFill="1" applyBorder="1" applyProtection="1">
      <protection locked="0"/>
    </xf>
    <xf numFmtId="181" fontId="6" fillId="0" borderId="0" xfId="0" applyNumberFormat="1" applyFont="1"/>
    <xf numFmtId="172" fontId="7" fillId="0" borderId="0" xfId="0" applyNumberFormat="1" applyFont="1"/>
    <xf numFmtId="168" fontId="6" fillId="0" borderId="0" xfId="0" applyNumberFormat="1" applyFont="1" applyAlignment="1">
      <alignment horizontal="right"/>
    </xf>
    <xf numFmtId="182" fontId="37" fillId="0" borderId="5" xfId="0" applyNumberFormat="1" applyFont="1" applyBorder="1" applyProtection="1">
      <protection locked="0"/>
    </xf>
    <xf numFmtId="42" fontId="37" fillId="0" borderId="40" xfId="0" applyNumberFormat="1" applyFont="1" applyBorder="1" applyProtection="1">
      <protection locked="0"/>
    </xf>
    <xf numFmtId="179" fontId="37" fillId="0" borderId="35" xfId="0" applyNumberFormat="1" applyFont="1" applyBorder="1" applyProtection="1">
      <protection locked="0"/>
    </xf>
    <xf numFmtId="42" fontId="37" fillId="0" borderId="39" xfId="0" applyNumberFormat="1" applyFont="1" applyBorder="1" applyProtection="1">
      <protection locked="0"/>
    </xf>
    <xf numFmtId="179" fontId="37" fillId="0" borderId="0" xfId="0" applyNumberFormat="1" applyFont="1"/>
    <xf numFmtId="42" fontId="37" fillId="0" borderId="38" xfId="0" applyNumberFormat="1" applyFont="1" applyBorder="1" applyProtection="1">
      <protection locked="0"/>
    </xf>
    <xf numFmtId="164" fontId="6" fillId="0" borderId="0" xfId="0" quotePrefix="1" applyFont="1" applyAlignment="1">
      <alignment horizontal="left" indent="3"/>
    </xf>
    <xf numFmtId="164" fontId="44" fillId="20" borderId="1" xfId="0" applyFont="1" applyFill="1" applyBorder="1" applyAlignment="1">
      <alignment horizontal="left"/>
    </xf>
    <xf numFmtId="164" fontId="45" fillId="20" borderId="2" xfId="0" applyFont="1" applyFill="1" applyBorder="1"/>
    <xf numFmtId="164" fontId="46" fillId="20" borderId="3" xfId="0" applyFont="1" applyFill="1" applyBorder="1" applyAlignment="1">
      <alignment horizontal="right"/>
    </xf>
    <xf numFmtId="164" fontId="37" fillId="22" borderId="6" xfId="0" applyFont="1" applyFill="1" applyBorder="1" applyAlignment="1" applyProtection="1">
      <alignment horizontal="left"/>
      <protection locked="0"/>
    </xf>
    <xf numFmtId="38" fontId="37" fillId="22" borderId="29" xfId="0" applyNumberFormat="1" applyFont="1" applyFill="1" applyBorder="1" applyProtection="1">
      <protection locked="0"/>
    </xf>
    <xf numFmtId="182" fontId="37" fillId="22" borderId="10" xfId="0" applyNumberFormat="1" applyFont="1" applyFill="1" applyBorder="1" applyProtection="1">
      <protection locked="0"/>
    </xf>
    <xf numFmtId="38" fontId="6" fillId="22" borderId="5" xfId="0" applyNumberFormat="1" applyFont="1" applyFill="1" applyBorder="1"/>
    <xf numFmtId="176" fontId="37" fillId="22" borderId="10" xfId="0" applyNumberFormat="1" applyFont="1" applyFill="1" applyBorder="1" applyProtection="1">
      <protection locked="0"/>
    </xf>
    <xf numFmtId="165" fontId="6" fillId="22" borderId="0" xfId="0" applyNumberFormat="1" applyFont="1" applyFill="1"/>
    <xf numFmtId="42" fontId="6" fillId="22" borderId="0" xfId="0" applyNumberFormat="1" applyFont="1" applyFill="1"/>
    <xf numFmtId="164" fontId="37" fillId="21" borderId="11" xfId="0" applyFont="1" applyFill="1" applyBorder="1" applyAlignment="1" applyProtection="1">
      <alignment horizontal="left"/>
      <protection locked="0"/>
    </xf>
    <xf numFmtId="38" fontId="37" fillId="21" borderId="30" xfId="0" applyNumberFormat="1" applyFont="1" applyFill="1" applyBorder="1" applyProtection="1">
      <protection locked="0"/>
    </xf>
    <xf numFmtId="182" fontId="37" fillId="21" borderId="5" xfId="0" applyNumberFormat="1" applyFont="1" applyFill="1" applyBorder="1" applyProtection="1">
      <protection locked="0"/>
    </xf>
    <xf numFmtId="38" fontId="6" fillId="21" borderId="5" xfId="0" applyNumberFormat="1" applyFont="1" applyFill="1" applyBorder="1"/>
    <xf numFmtId="176" fontId="37" fillId="21" borderId="5" xfId="0" applyNumberFormat="1" applyFont="1" applyFill="1" applyBorder="1" applyProtection="1">
      <protection locked="0"/>
    </xf>
    <xf numFmtId="165" fontId="6" fillId="21" borderId="0" xfId="0" applyNumberFormat="1" applyFont="1" applyFill="1"/>
    <xf numFmtId="42" fontId="6" fillId="21" borderId="0" xfId="0" applyNumberFormat="1" applyFont="1" applyFill="1"/>
    <xf numFmtId="164" fontId="37" fillId="22" borderId="8" xfId="0" applyFont="1" applyFill="1" applyBorder="1" applyAlignment="1" applyProtection="1">
      <alignment horizontal="left"/>
      <protection locked="0"/>
    </xf>
    <xf numFmtId="38" fontId="37" fillId="22" borderId="31" xfId="0" applyNumberFormat="1" applyFont="1" applyFill="1" applyBorder="1" applyProtection="1">
      <protection locked="0"/>
    </xf>
    <xf numFmtId="182" fontId="37" fillId="22" borderId="12" xfId="0" applyNumberFormat="1" applyFont="1" applyFill="1" applyBorder="1" applyProtection="1">
      <protection locked="0"/>
    </xf>
    <xf numFmtId="176" fontId="37" fillId="22" borderId="12" xfId="0" applyNumberFormat="1" applyFont="1" applyFill="1" applyBorder="1" applyProtection="1">
      <protection locked="0"/>
    </xf>
    <xf numFmtId="164" fontId="7" fillId="22" borderId="0" xfId="0" applyFont="1" applyFill="1" applyAlignment="1">
      <alignment horizontal="left"/>
    </xf>
    <xf numFmtId="164" fontId="7" fillId="22" borderId="0" xfId="0" applyFont="1" applyFill="1"/>
    <xf numFmtId="164" fontId="6" fillId="22" borderId="0" xfId="0" applyFont="1" applyFill="1"/>
    <xf numFmtId="37" fontId="8" fillId="22" borderId="0" xfId="0" applyNumberFormat="1" applyFont="1" applyFill="1"/>
    <xf numFmtId="173" fontId="6" fillId="22" borderId="0" xfId="0" applyNumberFormat="1" applyFont="1" applyFill="1"/>
    <xf numFmtId="37" fontId="6" fillId="21" borderId="0" xfId="0" applyNumberFormat="1" applyFont="1" applyFill="1"/>
    <xf numFmtId="164" fontId="37" fillId="21" borderId="11" xfId="0" applyFont="1" applyFill="1" applyBorder="1" applyAlignment="1" applyProtection="1">
      <alignment horizontal="center"/>
      <protection locked="0"/>
    </xf>
    <xf numFmtId="164" fontId="7" fillId="21" borderId="0" xfId="0" applyFont="1" applyFill="1" applyAlignment="1">
      <alignment horizontal="left" indent="1"/>
    </xf>
    <xf numFmtId="164" fontId="6" fillId="21" borderId="0" xfId="0" applyFont="1" applyFill="1"/>
    <xf numFmtId="164" fontId="7" fillId="21" borderId="0" xfId="0" applyFont="1" applyFill="1"/>
    <xf numFmtId="164" fontId="7" fillId="21" borderId="0" xfId="0" applyFont="1" applyFill="1" applyAlignment="1">
      <alignment horizontal="right"/>
    </xf>
    <xf numFmtId="164" fontId="6" fillId="21" borderId="0" xfId="0" applyFont="1" applyFill="1" applyAlignment="1">
      <alignment horizontal="left"/>
    </xf>
    <xf numFmtId="166" fontId="8" fillId="21" borderId="0" xfId="0" applyNumberFormat="1" applyFont="1" applyFill="1"/>
    <xf numFmtId="37" fontId="8" fillId="21" borderId="0" xfId="0" applyNumberFormat="1" applyFont="1" applyFill="1"/>
    <xf numFmtId="9" fontId="6" fillId="21" borderId="0" xfId="0" applyNumberFormat="1" applyFont="1" applyFill="1"/>
    <xf numFmtId="164" fontId="7" fillId="21" borderId="0" xfId="0" applyFont="1" applyFill="1" applyAlignment="1">
      <alignment horizontal="left"/>
    </xf>
    <xf numFmtId="164" fontId="37" fillId="0" borderId="11" xfId="0" applyFont="1" applyBorder="1" applyAlignment="1" applyProtection="1">
      <alignment horizontal="center"/>
      <protection locked="0"/>
    </xf>
    <xf numFmtId="44" fontId="37" fillId="0" borderId="41" xfId="0" applyNumberFormat="1" applyFont="1" applyBorder="1" applyProtection="1">
      <protection locked="0"/>
    </xf>
    <xf numFmtId="42" fontId="6" fillId="0" borderId="42" xfId="0" applyNumberFormat="1" applyFont="1" applyBorder="1"/>
    <xf numFmtId="175" fontId="6" fillId="0" borderId="42" xfId="0" applyNumberFormat="1" applyFont="1" applyBorder="1"/>
    <xf numFmtId="164" fontId="47" fillId="0" borderId="0" xfId="0" applyFont="1" applyAlignment="1">
      <alignment horizontal="right"/>
    </xf>
    <xf numFmtId="42" fontId="47" fillId="0" borderId="42" xfId="0" applyNumberFormat="1" applyFont="1" applyBorder="1"/>
    <xf numFmtId="164" fontId="37" fillId="0" borderId="38" xfId="0" applyFont="1" applyBorder="1" applyAlignment="1" applyProtection="1">
      <alignment horizontal="center"/>
      <protection locked="0"/>
    </xf>
    <xf numFmtId="164" fontId="37" fillId="0" borderId="40" xfId="0" applyFont="1" applyBorder="1" applyAlignment="1" applyProtection="1">
      <alignment horizontal="center"/>
      <protection locked="0"/>
    </xf>
    <xf numFmtId="164" fontId="37" fillId="21" borderId="40" xfId="0" applyFont="1" applyFill="1" applyBorder="1" applyAlignment="1" applyProtection="1">
      <alignment horizontal="center"/>
      <protection locked="0"/>
    </xf>
    <xf numFmtId="42" fontId="6" fillId="0" borderId="36" xfId="0" applyNumberFormat="1" applyFont="1" applyBorder="1"/>
    <xf numFmtId="179" fontId="6" fillId="0" borderId="0" xfId="274" applyNumberFormat="1" applyFont="1" applyAlignment="1" applyProtection="1">
      <alignment horizontal="center" vertical="center"/>
    </xf>
    <xf numFmtId="164" fontId="36" fillId="21" borderId="0" xfId="0" applyFont="1" applyFill="1" applyAlignment="1">
      <alignment horizontal="left"/>
    </xf>
    <xf numFmtId="170" fontId="6" fillId="21" borderId="0" xfId="0" applyNumberFormat="1" applyFont="1" applyFill="1"/>
    <xf numFmtId="179" fontId="6" fillId="21" borderId="0" xfId="274" applyNumberFormat="1" applyFont="1" applyFill="1" applyProtection="1"/>
    <xf numFmtId="164" fontId="36" fillId="0" borderId="0" xfId="0" applyFont="1" applyAlignment="1">
      <alignment horizontal="left"/>
    </xf>
    <xf numFmtId="179" fontId="6" fillId="0" borderId="0" xfId="274" applyNumberFormat="1" applyFont="1" applyFill="1" applyProtection="1"/>
    <xf numFmtId="44" fontId="6" fillId="0" borderId="41" xfId="0" applyNumberFormat="1" applyFont="1" applyBorder="1"/>
    <xf numFmtId="164" fontId="37" fillId="0" borderId="36" xfId="0" applyFont="1" applyBorder="1" applyAlignment="1">
      <alignment horizontal="left" indent="1" shrinkToFit="1"/>
    </xf>
    <xf numFmtId="40" fontId="37" fillId="0" borderId="36" xfId="0" applyNumberFormat="1" applyFont="1" applyBorder="1"/>
    <xf numFmtId="164" fontId="37" fillId="0" borderId="36" xfId="0" applyFont="1" applyBorder="1" applyAlignment="1">
      <alignment horizontal="center"/>
    </xf>
    <xf numFmtId="44" fontId="37" fillId="0" borderId="36" xfId="0" applyNumberFormat="1" applyFont="1" applyBorder="1"/>
    <xf numFmtId="164" fontId="37" fillId="21" borderId="38" xfId="0" applyFont="1" applyFill="1" applyBorder="1" applyAlignment="1" applyProtection="1">
      <alignment horizontal="center"/>
      <protection locked="0"/>
    </xf>
    <xf numFmtId="179" fontId="6" fillId="0" borderId="0" xfId="274" applyNumberFormat="1" applyFont="1" applyAlignment="1" applyProtection="1">
      <alignment horizontal="right"/>
    </xf>
    <xf numFmtId="179" fontId="6" fillId="0" borderId="0" xfId="0" applyNumberFormat="1" applyFont="1" applyAlignment="1">
      <alignment horizontal="right"/>
    </xf>
    <xf numFmtId="179" fontId="6" fillId="21" borderId="0" xfId="0" applyNumberFormat="1" applyFont="1" applyFill="1"/>
    <xf numFmtId="40" fontId="37" fillId="0" borderId="11" xfId="0" applyNumberFormat="1" applyFont="1" applyBorder="1" applyAlignment="1" applyProtection="1">
      <alignment horizontal="right"/>
      <protection locked="0"/>
    </xf>
    <xf numFmtId="40" fontId="37" fillId="21" borderId="11" xfId="0" applyNumberFormat="1" applyFont="1" applyFill="1" applyBorder="1" applyAlignment="1" applyProtection="1">
      <alignment horizontal="right"/>
      <protection locked="0"/>
    </xf>
    <xf numFmtId="40" fontId="37" fillId="0" borderId="38" xfId="0" applyNumberFormat="1" applyFont="1" applyBorder="1" applyAlignment="1" applyProtection="1">
      <alignment horizontal="right"/>
      <protection locked="0"/>
    </xf>
    <xf numFmtId="40" fontId="37" fillId="0" borderId="40" xfId="0" applyNumberFormat="1" applyFont="1" applyBorder="1" applyAlignment="1" applyProtection="1">
      <alignment horizontal="right"/>
      <protection locked="0"/>
    </xf>
    <xf numFmtId="40" fontId="37" fillId="21" borderId="40" xfId="0" applyNumberFormat="1" applyFont="1" applyFill="1" applyBorder="1" applyAlignment="1" applyProtection="1">
      <alignment horizontal="right"/>
      <protection locked="0"/>
    </xf>
    <xf numFmtId="40" fontId="37" fillId="21" borderId="38" xfId="0" applyNumberFormat="1" applyFont="1" applyFill="1" applyBorder="1" applyAlignment="1" applyProtection="1">
      <alignment horizontal="right"/>
      <protection locked="0"/>
    </xf>
    <xf numFmtId="44" fontId="37" fillId="0" borderId="11" xfId="0" applyNumberFormat="1" applyFont="1" applyBorder="1" applyAlignment="1" applyProtection="1">
      <alignment horizontal="right"/>
      <protection locked="0"/>
    </xf>
    <xf numFmtId="44" fontId="37" fillId="21" borderId="11" xfId="0" applyNumberFormat="1" applyFont="1" applyFill="1" applyBorder="1" applyAlignment="1" applyProtection="1">
      <alignment horizontal="right"/>
      <protection locked="0"/>
    </xf>
    <xf numFmtId="44" fontId="37" fillId="0" borderId="38" xfId="0" applyNumberFormat="1" applyFont="1" applyBorder="1" applyAlignment="1" applyProtection="1">
      <alignment horizontal="right"/>
      <protection locked="0"/>
    </xf>
    <xf numFmtId="44" fontId="37" fillId="0" borderId="40" xfId="0" applyNumberFormat="1" applyFont="1" applyBorder="1" applyAlignment="1" applyProtection="1">
      <alignment horizontal="right"/>
      <protection locked="0"/>
    </xf>
    <xf numFmtId="44" fontId="37" fillId="21" borderId="40" xfId="0" applyNumberFormat="1" applyFont="1" applyFill="1" applyBorder="1" applyAlignment="1" applyProtection="1">
      <alignment horizontal="right"/>
      <protection locked="0"/>
    </xf>
    <xf numFmtId="44" fontId="37" fillId="21" borderId="38" xfId="0" applyNumberFormat="1" applyFont="1" applyFill="1" applyBorder="1" applyAlignment="1" applyProtection="1">
      <alignment horizontal="right"/>
      <protection locked="0"/>
    </xf>
    <xf numFmtId="164" fontId="37" fillId="0" borderId="40" xfId="0" applyFont="1" applyBorder="1" applyAlignment="1" applyProtection="1">
      <alignment horizontal="left" shrinkToFit="1"/>
      <protection locked="0"/>
    </xf>
    <xf numFmtId="164" fontId="37" fillId="0" borderId="11" xfId="0" applyFont="1" applyBorder="1" applyAlignment="1" applyProtection="1">
      <alignment horizontal="left" shrinkToFit="1"/>
      <protection locked="0"/>
    </xf>
    <xf numFmtId="164" fontId="37" fillId="0" borderId="11" xfId="0" quotePrefix="1" applyFont="1" applyBorder="1" applyAlignment="1" applyProtection="1">
      <alignment horizontal="left" shrinkToFit="1"/>
      <protection locked="0"/>
    </xf>
    <xf numFmtId="164" fontId="37" fillId="21" borderId="11" xfId="0" applyFont="1" applyFill="1" applyBorder="1" applyAlignment="1" applyProtection="1">
      <alignment horizontal="left" shrinkToFit="1"/>
      <protection locked="0"/>
    </xf>
    <xf numFmtId="164" fontId="37" fillId="21" borderId="11" xfId="0" quotePrefix="1" applyFont="1" applyFill="1" applyBorder="1" applyAlignment="1" applyProtection="1">
      <alignment horizontal="left" shrinkToFit="1"/>
      <protection locked="0"/>
    </xf>
    <xf numFmtId="164" fontId="37" fillId="0" borderId="38" xfId="0" quotePrefix="1" applyFont="1" applyBorder="1" applyAlignment="1" applyProtection="1">
      <alignment horizontal="left" shrinkToFit="1"/>
      <protection locked="0"/>
    </xf>
    <xf numFmtId="164" fontId="37" fillId="21" borderId="40" xfId="0" applyFont="1" applyFill="1" applyBorder="1" applyAlignment="1" applyProtection="1">
      <alignment horizontal="left" shrinkToFit="1"/>
      <protection locked="0"/>
    </xf>
    <xf numFmtId="164" fontId="37" fillId="21" borderId="38" xfId="0" quotePrefix="1" applyFont="1" applyFill="1" applyBorder="1" applyAlignment="1" applyProtection="1">
      <alignment horizontal="left" shrinkToFit="1"/>
      <protection locked="0"/>
    </xf>
    <xf numFmtId="179" fontId="6" fillId="21" borderId="0" xfId="274" applyNumberFormat="1" applyFont="1" applyFill="1" applyBorder="1" applyProtection="1"/>
    <xf numFmtId="164" fontId="49" fillId="0" borderId="0" xfId="0" applyFont="1"/>
    <xf numFmtId="0" fontId="50" fillId="0" borderId="0" xfId="0" applyNumberFormat="1" applyFont="1" applyAlignment="1">
      <alignment horizontal="center"/>
    </xf>
    <xf numFmtId="49" fontId="0" fillId="0" borderId="0" xfId="0" applyNumberFormat="1"/>
    <xf numFmtId="49" fontId="4" fillId="0" borderId="50" xfId="0" applyNumberFormat="1" applyFont="1" applyBorder="1" applyAlignment="1">
      <alignment vertical="top"/>
    </xf>
    <xf numFmtId="3" fontId="4" fillId="0" borderId="50" xfId="0" applyNumberFormat="1" applyFont="1" applyBorder="1" applyAlignment="1">
      <alignment vertical="top"/>
    </xf>
    <xf numFmtId="1" fontId="4" fillId="0" borderId="50" xfId="0" applyNumberFormat="1" applyFont="1" applyBorder="1" applyAlignment="1">
      <alignment vertical="top"/>
    </xf>
    <xf numFmtId="49" fontId="4" fillId="0" borderId="14" xfId="0" applyNumberFormat="1" applyFont="1" applyBorder="1" applyAlignment="1">
      <alignment vertical="top"/>
    </xf>
    <xf numFmtId="3" fontId="4" fillId="0" borderId="14" xfId="0" applyNumberFormat="1" applyFont="1" applyBorder="1" applyAlignment="1">
      <alignment vertical="top"/>
    </xf>
    <xf numFmtId="1" fontId="4" fillId="0" borderId="14" xfId="0" applyNumberFormat="1" applyFont="1" applyBorder="1" applyAlignment="1">
      <alignment vertical="top"/>
    </xf>
    <xf numFmtId="49" fontId="4" fillId="0" borderId="14" xfId="0" applyNumberFormat="1" applyFont="1" applyBorder="1" applyAlignment="1">
      <alignment vertical="top" wrapText="1"/>
    </xf>
    <xf numFmtId="49" fontId="4" fillId="0" borderId="14" xfId="0" quotePrefix="1" applyNumberFormat="1" applyFont="1" applyBorder="1" applyAlignment="1">
      <alignment horizontal="left" vertical="top" wrapText="1" indent="2"/>
    </xf>
    <xf numFmtId="49" fontId="4" fillId="0" borderId="14" xfId="0" applyNumberFormat="1" applyFont="1" applyBorder="1" applyAlignment="1">
      <alignment horizontal="left" vertical="top" wrapText="1" indent="2"/>
    </xf>
    <xf numFmtId="164" fontId="4" fillId="0" borderId="14" xfId="0" quotePrefix="1" applyFont="1" applyBorder="1" applyAlignment="1">
      <alignment horizontal="left" vertical="top" wrapText="1" indent="2"/>
    </xf>
    <xf numFmtId="164" fontId="4" fillId="0" borderId="15" xfId="0" applyFont="1" applyBorder="1"/>
    <xf numFmtId="164" fontId="4" fillId="0" borderId="38" xfId="0" applyFont="1" applyBorder="1"/>
    <xf numFmtId="42" fontId="51" fillId="0" borderId="0" xfId="0" applyNumberFormat="1" applyFont="1"/>
    <xf numFmtId="42" fontId="51" fillId="0" borderId="36" xfId="0" applyNumberFormat="1" applyFont="1" applyBorder="1"/>
    <xf numFmtId="42" fontId="52" fillId="0" borderId="37" xfId="0" applyNumberFormat="1" applyFont="1" applyBorder="1"/>
    <xf numFmtId="171" fontId="51" fillId="0" borderId="0" xfId="0" applyNumberFormat="1" applyFont="1"/>
    <xf numFmtId="42" fontId="2" fillId="0" borderId="0" xfId="0" applyNumberFormat="1" applyFont="1"/>
    <xf numFmtId="42" fontId="52" fillId="0" borderId="0" xfId="0" applyNumberFormat="1" applyFont="1"/>
    <xf numFmtId="42" fontId="2" fillId="0" borderId="35" xfId="0" applyNumberFormat="1" applyFont="1" applyBorder="1"/>
    <xf numFmtId="42" fontId="52" fillId="0" borderId="35" xfId="0" applyNumberFormat="1" applyFont="1" applyBorder="1"/>
    <xf numFmtId="164" fontId="51" fillId="0" borderId="0" xfId="0" applyFont="1"/>
    <xf numFmtId="164" fontId="53" fillId="0" borderId="0" xfId="0" applyFont="1" applyAlignment="1">
      <alignment horizontal="center"/>
    </xf>
    <xf numFmtId="180" fontId="38" fillId="19" borderId="35" xfId="0" applyNumberFormat="1" applyFont="1" applyFill="1" applyBorder="1" applyProtection="1">
      <protection locked="0"/>
    </xf>
    <xf numFmtId="49" fontId="4" fillId="21" borderId="14" xfId="0" applyNumberFormat="1" applyFont="1" applyFill="1" applyBorder="1" applyAlignment="1">
      <alignment vertical="top"/>
    </xf>
    <xf numFmtId="3" fontId="4" fillId="21" borderId="14" xfId="0" applyNumberFormat="1" applyFont="1" applyFill="1" applyBorder="1" applyAlignment="1">
      <alignment vertical="top"/>
    </xf>
    <xf numFmtId="1" fontId="4" fillId="21" borderId="14" xfId="0" applyNumberFormat="1" applyFont="1" applyFill="1" applyBorder="1" applyAlignment="1">
      <alignment vertical="top"/>
    </xf>
    <xf numFmtId="164" fontId="37" fillId="0" borderId="0" xfId="0" applyFont="1" applyAlignment="1" applyProtection="1">
      <alignment horizontal="left" indent="1"/>
      <protection locked="0"/>
    </xf>
    <xf numFmtId="164" fontId="6" fillId="0" borderId="0" xfId="0" applyFont="1" applyProtection="1">
      <protection locked="0"/>
    </xf>
    <xf numFmtId="183" fontId="6" fillId="0" borderId="0" xfId="0" applyNumberFormat="1" applyFont="1" applyAlignment="1">
      <alignment horizontal="center"/>
    </xf>
    <xf numFmtId="171" fontId="37" fillId="0" borderId="51" xfId="0" applyNumberFormat="1" applyFont="1" applyBorder="1" applyAlignment="1" applyProtection="1">
      <alignment horizontal="right"/>
      <protection locked="0"/>
    </xf>
    <xf numFmtId="171" fontId="37" fillId="0" borderId="35" xfId="0" applyNumberFormat="1" applyFont="1" applyBorder="1" applyProtection="1">
      <protection locked="0"/>
    </xf>
    <xf numFmtId="164" fontId="47" fillId="0" borderId="0" xfId="0" applyFont="1" applyAlignment="1">
      <alignment horizontal="center"/>
    </xf>
    <xf numFmtId="164" fontId="54" fillId="0" borderId="0" xfId="0" applyFont="1" applyAlignment="1">
      <alignment horizontal="center"/>
    </xf>
    <xf numFmtId="164" fontId="36" fillId="0" borderId="0" xfId="0" applyFont="1" applyAlignment="1">
      <alignment horizontal="right"/>
    </xf>
    <xf numFmtId="179" fontId="37" fillId="0" borderId="7" xfId="0" applyNumberFormat="1" applyFont="1" applyBorder="1" applyProtection="1">
      <protection locked="0"/>
    </xf>
    <xf numFmtId="180" fontId="6" fillId="0" borderId="0" xfId="0" applyNumberFormat="1" applyFont="1"/>
    <xf numFmtId="179" fontId="51" fillId="0" borderId="0" xfId="0" applyNumberFormat="1" applyFont="1"/>
    <xf numFmtId="10" fontId="51" fillId="0" borderId="0" xfId="0" applyNumberFormat="1" applyFont="1"/>
    <xf numFmtId="179" fontId="51" fillId="0" borderId="0" xfId="274" applyNumberFormat="1" applyFont="1"/>
    <xf numFmtId="180" fontId="51" fillId="0" borderId="0" xfId="0" applyNumberFormat="1" applyFont="1"/>
    <xf numFmtId="40" fontId="51" fillId="0" borderId="0" xfId="0" applyNumberFormat="1" applyFont="1"/>
    <xf numFmtId="164" fontId="52" fillId="0" borderId="0" xfId="0" applyFont="1"/>
    <xf numFmtId="164" fontId="36" fillId="0" borderId="0" xfId="0" applyFont="1" applyAlignment="1">
      <alignment horizontal="center"/>
    </xf>
    <xf numFmtId="37" fontId="55" fillId="0" borderId="0" xfId="0" applyNumberFormat="1" applyFont="1" applyAlignment="1">
      <alignment horizontal="center"/>
    </xf>
    <xf numFmtId="164" fontId="4" fillId="0" borderId="0" xfId="0" applyFont="1" applyAlignment="1">
      <alignment horizontal="right"/>
    </xf>
    <xf numFmtId="38" fontId="38" fillId="0" borderId="0" xfId="0" applyNumberFormat="1" applyFont="1"/>
    <xf numFmtId="164" fontId="7" fillId="18" borderId="0" xfId="0" quotePrefix="1" applyFont="1" applyFill="1" applyAlignment="1">
      <alignment horizontal="left" indent="2"/>
    </xf>
    <xf numFmtId="164" fontId="6" fillId="18" borderId="0" xfId="0" applyFont="1" applyFill="1"/>
    <xf numFmtId="179" fontId="37" fillId="18" borderId="0" xfId="0" applyNumberFormat="1" applyFont="1" applyFill="1"/>
    <xf numFmtId="42" fontId="6" fillId="18" borderId="0" xfId="0" applyNumberFormat="1" applyFont="1" applyFill="1"/>
    <xf numFmtId="9" fontId="6" fillId="18" borderId="0" xfId="0" applyNumberFormat="1" applyFont="1" applyFill="1"/>
    <xf numFmtId="37" fontId="6" fillId="18" borderId="0" xfId="0" applyNumberFormat="1" applyFont="1" applyFill="1"/>
    <xf numFmtId="164" fontId="44" fillId="25" borderId="1" xfId="0" applyFont="1" applyFill="1" applyBorder="1" applyAlignment="1">
      <alignment horizontal="left"/>
    </xf>
    <xf numFmtId="164" fontId="45" fillId="25" borderId="2" xfId="0" applyFont="1" applyFill="1" applyBorder="1"/>
    <xf numFmtId="164" fontId="46" fillId="25" borderId="3" xfId="0" applyFont="1" applyFill="1" applyBorder="1" applyAlignment="1">
      <alignment horizontal="right"/>
    </xf>
    <xf numFmtId="169" fontId="6" fillId="0" borderId="4" xfId="0" applyNumberFormat="1" applyFont="1" applyBorder="1"/>
    <xf numFmtId="164" fontId="9" fillId="0" borderId="0" xfId="0" applyFont="1" applyAlignment="1">
      <alignment horizontal="center"/>
    </xf>
    <xf numFmtId="38" fontId="6" fillId="0" borderId="6" xfId="0" applyNumberFormat="1" applyFont="1" applyBorder="1"/>
    <xf numFmtId="171" fontId="6" fillId="0" borderId="51" xfId="0" applyNumberFormat="1" applyFont="1" applyBorder="1" applyAlignment="1">
      <alignment horizontal="right"/>
    </xf>
    <xf numFmtId="38" fontId="6" fillId="0" borderId="8" xfId="0" applyNumberFormat="1" applyFont="1" applyBorder="1"/>
    <xf numFmtId="171" fontId="6" fillId="0" borderId="35" xfId="0" applyNumberFormat="1" applyFont="1" applyBorder="1"/>
    <xf numFmtId="164" fontId="6" fillId="0" borderId="11" xfId="0" applyFont="1" applyBorder="1" applyAlignment="1">
      <alignment horizontal="left"/>
    </xf>
    <xf numFmtId="38" fontId="6" fillId="0" borderId="30" xfId="0" applyNumberFormat="1" applyFont="1" applyBorder="1"/>
    <xf numFmtId="182" fontId="6" fillId="0" borderId="5" xfId="0" applyNumberFormat="1" applyFont="1" applyBorder="1"/>
    <xf numFmtId="176" fontId="6" fillId="0" borderId="5" xfId="0" applyNumberFormat="1" applyFont="1" applyBorder="1"/>
    <xf numFmtId="38" fontId="6" fillId="0" borderId="32" xfId="0" applyNumberFormat="1" applyFont="1" applyBorder="1"/>
    <xf numFmtId="176" fontId="6" fillId="0" borderId="6" xfId="0" applyNumberFormat="1" applyFont="1" applyBorder="1"/>
    <xf numFmtId="38" fontId="6" fillId="0" borderId="33" xfId="0" applyNumberFormat="1" applyFont="1" applyBorder="1"/>
    <xf numFmtId="176" fontId="6" fillId="0" borderId="11" xfId="0" applyNumberFormat="1" applyFont="1" applyBorder="1"/>
    <xf numFmtId="38" fontId="6" fillId="0" borderId="34" xfId="0" applyNumberFormat="1" applyFont="1" applyBorder="1"/>
    <xf numFmtId="176" fontId="6" fillId="0" borderId="8" xfId="0" applyNumberFormat="1" applyFont="1" applyBorder="1"/>
    <xf numFmtId="37" fontId="7" fillId="0" borderId="0" xfId="0" applyNumberFormat="1" applyFont="1" applyAlignment="1">
      <alignment horizontal="center"/>
    </xf>
    <xf numFmtId="164" fontId="6" fillId="0" borderId="0" xfId="0" applyFont="1" applyAlignment="1">
      <alignment horizontal="left" indent="1" shrinkToFit="1"/>
    </xf>
    <xf numFmtId="40" fontId="6" fillId="0" borderId="4" xfId="0" applyNumberFormat="1" applyFont="1" applyBorder="1"/>
    <xf numFmtId="164" fontId="6" fillId="0" borderId="0" xfId="0" applyFont="1" applyAlignment="1">
      <alignment horizontal="left" shrinkToFit="1"/>
    </xf>
    <xf numFmtId="40" fontId="6" fillId="0" borderId="0" xfId="0" applyNumberFormat="1" applyFont="1"/>
    <xf numFmtId="164" fontId="6" fillId="0" borderId="40" xfId="0" applyFont="1" applyBorder="1" applyAlignment="1">
      <alignment horizontal="left" shrinkToFit="1"/>
    </xf>
    <xf numFmtId="40" fontId="6" fillId="0" borderId="11" xfId="0" applyNumberFormat="1" applyFont="1" applyBorder="1" applyAlignment="1">
      <alignment horizontal="right"/>
    </xf>
    <xf numFmtId="164" fontId="6" fillId="0" borderId="11" xfId="0" applyFont="1" applyBorder="1" applyAlignment="1">
      <alignment horizontal="center"/>
    </xf>
    <xf numFmtId="44" fontId="6" fillId="0" borderId="11" xfId="0" applyNumberFormat="1" applyFont="1" applyBorder="1" applyAlignment="1">
      <alignment horizontal="right"/>
    </xf>
    <xf numFmtId="164" fontId="6" fillId="0" borderId="11" xfId="0" applyFont="1" applyBorder="1" applyAlignment="1">
      <alignment horizontal="left" shrinkToFit="1"/>
    </xf>
    <xf numFmtId="164" fontId="6" fillId="0" borderId="11" xfId="0" quotePrefix="1" applyFont="1" applyBorder="1" applyAlignment="1">
      <alignment horizontal="left" shrinkToFit="1"/>
    </xf>
    <xf numFmtId="164" fontId="6" fillId="0" borderId="38" xfId="0" quotePrefix="1" applyFont="1" applyBorder="1" applyAlignment="1">
      <alignment horizontal="left" shrinkToFit="1"/>
    </xf>
    <xf numFmtId="40" fontId="6" fillId="0" borderId="38" xfId="0" applyNumberFormat="1" applyFont="1" applyBorder="1" applyAlignment="1">
      <alignment horizontal="right"/>
    </xf>
    <xf numFmtId="164" fontId="6" fillId="0" borderId="38" xfId="0" applyFont="1" applyBorder="1" applyAlignment="1">
      <alignment horizontal="center"/>
    </xf>
    <xf numFmtId="44" fontId="6" fillId="0" borderId="38" xfId="0" applyNumberFormat="1" applyFont="1" applyBorder="1" applyAlignment="1">
      <alignment horizontal="right"/>
    </xf>
    <xf numFmtId="164" fontId="6" fillId="0" borderId="36" xfId="0" applyFont="1" applyBorder="1" applyAlignment="1">
      <alignment horizontal="left" indent="1" shrinkToFit="1"/>
    </xf>
    <xf numFmtId="40" fontId="6" fillId="0" borderId="36" xfId="0" applyNumberFormat="1" applyFont="1" applyBorder="1"/>
    <xf numFmtId="164" fontId="6" fillId="0" borderId="36" xfId="0" applyFont="1" applyBorder="1" applyAlignment="1">
      <alignment horizontal="center"/>
    </xf>
    <xf numFmtId="44" fontId="6" fillId="0" borderId="36" xfId="0" applyNumberFormat="1" applyFont="1" applyBorder="1"/>
    <xf numFmtId="40" fontId="6" fillId="0" borderId="40" xfId="0" applyNumberFormat="1" applyFont="1" applyBorder="1" applyAlignment="1">
      <alignment horizontal="right"/>
    </xf>
    <xf numFmtId="164" fontId="6" fillId="0" borderId="40" xfId="0" applyFont="1" applyBorder="1" applyAlignment="1">
      <alignment horizontal="center"/>
    </xf>
    <xf numFmtId="44" fontId="6" fillId="0" borderId="40" xfId="0" applyNumberFormat="1" applyFont="1" applyBorder="1" applyAlignment="1">
      <alignment horizontal="right"/>
    </xf>
    <xf numFmtId="179" fontId="6" fillId="0" borderId="4" xfId="0" applyNumberFormat="1" applyFont="1" applyBorder="1"/>
    <xf numFmtId="42" fontId="6" fillId="0" borderId="4" xfId="0" applyNumberFormat="1" applyFont="1" applyBorder="1"/>
    <xf numFmtId="179" fontId="6" fillId="0" borderId="35" xfId="0" applyNumberFormat="1" applyFont="1" applyBorder="1"/>
    <xf numFmtId="42" fontId="6" fillId="0" borderId="39" xfId="0" applyNumberFormat="1" applyFont="1" applyBorder="1"/>
    <xf numFmtId="42" fontId="6" fillId="0" borderId="40" xfId="0" applyNumberFormat="1" applyFont="1" applyBorder="1"/>
    <xf numFmtId="42" fontId="6" fillId="0" borderId="38" xfId="0" applyNumberFormat="1" applyFont="1" applyBorder="1"/>
    <xf numFmtId="179" fontId="6" fillId="18" borderId="0" xfId="0" applyNumberFormat="1" applyFont="1" applyFill="1"/>
    <xf numFmtId="179" fontId="6" fillId="0" borderId="7" xfId="0" applyNumberFormat="1" applyFont="1" applyBorder="1"/>
    <xf numFmtId="167" fontId="6" fillId="0" borderId="0" xfId="0" applyNumberFormat="1" applyFont="1"/>
    <xf numFmtId="164" fontId="6" fillId="0" borderId="0" xfId="0" applyFont="1" applyAlignment="1">
      <alignment horizontal="left" indent="1"/>
    </xf>
    <xf numFmtId="164" fontId="6" fillId="26" borderId="6" xfId="0" applyFont="1" applyFill="1" applyBorder="1" applyAlignment="1">
      <alignment horizontal="left"/>
    </xf>
    <xf numFmtId="38" fontId="6" fillId="26" borderId="29" xfId="0" applyNumberFormat="1" applyFont="1" applyFill="1" applyBorder="1"/>
    <xf numFmtId="182" fontId="6" fillId="26" borderId="10" xfId="0" applyNumberFormat="1" applyFont="1" applyFill="1" applyBorder="1"/>
    <xf numFmtId="38" fontId="6" fillId="26" borderId="5" xfId="0" applyNumberFormat="1" applyFont="1" applyFill="1" applyBorder="1"/>
    <xf numFmtId="176" fontId="6" fillId="26" borderId="10" xfId="0" applyNumberFormat="1" applyFont="1" applyFill="1" applyBorder="1"/>
    <xf numFmtId="165" fontId="6" fillId="26" borderId="0" xfId="0" applyNumberFormat="1" applyFont="1" applyFill="1"/>
    <xf numFmtId="42" fontId="6" fillId="26" borderId="0" xfId="0" applyNumberFormat="1" applyFont="1" applyFill="1"/>
    <xf numFmtId="164" fontId="6" fillId="18" borderId="11" xfId="0" applyFont="1" applyFill="1" applyBorder="1" applyAlignment="1">
      <alignment horizontal="left"/>
    </xf>
    <xf numFmtId="38" fontId="6" fillId="18" borderId="30" xfId="0" applyNumberFormat="1" applyFont="1" applyFill="1" applyBorder="1"/>
    <xf numFmtId="182" fontId="6" fillId="18" borderId="5" xfId="0" applyNumberFormat="1" applyFont="1" applyFill="1" applyBorder="1"/>
    <xf numFmtId="38" fontId="6" fillId="18" borderId="5" xfId="0" applyNumberFormat="1" applyFont="1" applyFill="1" applyBorder="1"/>
    <xf numFmtId="176" fontId="6" fillId="18" borderId="5" xfId="0" applyNumberFormat="1" applyFont="1" applyFill="1" applyBorder="1"/>
    <xf numFmtId="165" fontId="6" fillId="18" borderId="0" xfId="0" applyNumberFormat="1" applyFont="1" applyFill="1"/>
    <xf numFmtId="164" fontId="6" fillId="26" borderId="8" xfId="0" applyFont="1" applyFill="1" applyBorder="1" applyAlignment="1">
      <alignment horizontal="left"/>
    </xf>
    <xf numFmtId="38" fontId="6" fillId="26" borderId="31" xfId="0" applyNumberFormat="1" applyFont="1" applyFill="1" applyBorder="1"/>
    <xf numFmtId="182" fontId="6" fillId="26" borderId="12" xfId="0" applyNumberFormat="1" applyFont="1" applyFill="1" applyBorder="1"/>
    <xf numFmtId="176" fontId="6" fillId="26" borderId="12" xfId="0" applyNumberFormat="1" applyFont="1" applyFill="1" applyBorder="1"/>
    <xf numFmtId="164" fontId="7" fillId="26" borderId="0" xfId="0" applyFont="1" applyFill="1" applyAlignment="1">
      <alignment horizontal="left"/>
    </xf>
    <xf numFmtId="164" fontId="7" fillId="26" borderId="0" xfId="0" applyFont="1" applyFill="1"/>
    <xf numFmtId="164" fontId="6" fillId="26" borderId="0" xfId="0" applyFont="1" applyFill="1"/>
    <xf numFmtId="37" fontId="6" fillId="26" borderId="0" xfId="0" applyNumberFormat="1" applyFont="1" applyFill="1"/>
    <xf numFmtId="173" fontId="6" fillId="26" borderId="0" xfId="0" applyNumberFormat="1" applyFont="1" applyFill="1"/>
    <xf numFmtId="164" fontId="7" fillId="18" borderId="0" xfId="0" applyFont="1" applyFill="1" applyAlignment="1">
      <alignment horizontal="left"/>
    </xf>
    <xf numFmtId="164" fontId="7" fillId="18" borderId="0" xfId="0" applyFont="1" applyFill="1"/>
    <xf numFmtId="164" fontId="7" fillId="18" borderId="0" xfId="0" applyFont="1" applyFill="1" applyAlignment="1">
      <alignment horizontal="right"/>
    </xf>
    <xf numFmtId="164" fontId="6" fillId="18" borderId="11" xfId="0" applyFont="1" applyFill="1" applyBorder="1" applyAlignment="1">
      <alignment horizontal="left" shrinkToFit="1"/>
    </xf>
    <xf numFmtId="40" fontId="6" fillId="18" borderId="11" xfId="0" applyNumberFormat="1" applyFont="1" applyFill="1" applyBorder="1" applyAlignment="1">
      <alignment horizontal="right"/>
    </xf>
    <xf numFmtId="164" fontId="6" fillId="18" borderId="11" xfId="0" applyFont="1" applyFill="1" applyBorder="1" applyAlignment="1">
      <alignment horizontal="center"/>
    </xf>
    <xf numFmtId="44" fontId="6" fillId="18" borderId="11" xfId="0" applyNumberFormat="1" applyFont="1" applyFill="1" applyBorder="1" applyAlignment="1">
      <alignment horizontal="right"/>
    </xf>
    <xf numFmtId="164" fontId="6" fillId="18" borderId="11" xfId="0" quotePrefix="1" applyFont="1" applyFill="1" applyBorder="1" applyAlignment="1">
      <alignment horizontal="left" shrinkToFit="1"/>
    </xf>
    <xf numFmtId="164" fontId="6" fillId="18" borderId="40" xfId="0" applyFont="1" applyFill="1" applyBorder="1" applyAlignment="1">
      <alignment horizontal="left" shrinkToFit="1"/>
    </xf>
    <xf numFmtId="40" fontId="6" fillId="18" borderId="40" xfId="0" applyNumberFormat="1" applyFont="1" applyFill="1" applyBorder="1" applyAlignment="1">
      <alignment horizontal="right"/>
    </xf>
    <xf numFmtId="164" fontId="6" fillId="18" borderId="40" xfId="0" applyFont="1" applyFill="1" applyBorder="1" applyAlignment="1">
      <alignment horizontal="center"/>
    </xf>
    <xf numFmtId="44" fontId="6" fillId="18" borderId="40" xfId="0" applyNumberFormat="1" applyFont="1" applyFill="1" applyBorder="1" applyAlignment="1">
      <alignment horizontal="right"/>
    </xf>
    <xf numFmtId="164" fontId="6" fillId="18" borderId="38" xfId="0" quotePrefix="1" applyFont="1" applyFill="1" applyBorder="1" applyAlignment="1">
      <alignment horizontal="left" shrinkToFit="1"/>
    </xf>
    <xf numFmtId="40" fontId="6" fillId="18" borderId="38" xfId="0" applyNumberFormat="1" applyFont="1" applyFill="1" applyBorder="1" applyAlignment="1">
      <alignment horizontal="right"/>
    </xf>
    <xf numFmtId="164" fontId="6" fillId="18" borderId="38" xfId="0" applyFont="1" applyFill="1" applyBorder="1" applyAlignment="1">
      <alignment horizontal="center"/>
    </xf>
    <xf numFmtId="44" fontId="6" fillId="18" borderId="38" xfId="0" applyNumberFormat="1" applyFont="1" applyFill="1" applyBorder="1" applyAlignment="1">
      <alignment horizontal="right"/>
    </xf>
    <xf numFmtId="164" fontId="7" fillId="18" borderId="0" xfId="0" applyFont="1" applyFill="1" applyAlignment="1">
      <alignment horizontal="left" indent="1"/>
    </xf>
    <xf numFmtId="164" fontId="6" fillId="18" borderId="0" xfId="0" applyFont="1" applyFill="1" applyAlignment="1">
      <alignment horizontal="left"/>
    </xf>
    <xf numFmtId="179" fontId="6" fillId="18" borderId="0" xfId="274" applyNumberFormat="1" applyFont="1" applyFill="1" applyBorder="1" applyProtection="1"/>
    <xf numFmtId="166" fontId="6" fillId="18" borderId="0" xfId="0" applyNumberFormat="1" applyFont="1" applyFill="1"/>
    <xf numFmtId="42" fontId="7" fillId="0" borderId="37" xfId="0" applyNumberFormat="1" applyFont="1" applyBorder="1"/>
    <xf numFmtId="164" fontId="47" fillId="0" borderId="0" xfId="0" applyFont="1" applyAlignment="1">
      <alignment horizontal="center" vertical="center"/>
    </xf>
    <xf numFmtId="0" fontId="61" fillId="0" borderId="0" xfId="343" applyFont="1"/>
    <xf numFmtId="0" fontId="62" fillId="0" borderId="0" xfId="343" applyFont="1"/>
    <xf numFmtId="0" fontId="60" fillId="0" borderId="0" xfId="343"/>
    <xf numFmtId="0" fontId="62" fillId="0" borderId="50" xfId="343" applyFont="1" applyBorder="1" applyAlignment="1">
      <alignment horizontal="right"/>
    </xf>
    <xf numFmtId="184" fontId="66" fillId="0" borderId="52" xfId="344" applyNumberFormat="1" applyFont="1" applyFill="1" applyBorder="1" applyProtection="1"/>
    <xf numFmtId="0" fontId="63" fillId="0" borderId="0" xfId="343" applyFont="1" applyAlignment="1">
      <alignment horizontal="center"/>
    </xf>
    <xf numFmtId="0" fontId="62" fillId="0" borderId="14" xfId="343" applyFont="1" applyBorder="1" applyAlignment="1">
      <alignment horizontal="right"/>
    </xf>
    <xf numFmtId="14" fontId="62" fillId="0" borderId="53" xfId="343" applyNumberFormat="1" applyFont="1" applyBorder="1"/>
    <xf numFmtId="180" fontId="66" fillId="0" borderId="53" xfId="345" applyNumberFormat="1" applyFont="1" applyBorder="1" applyProtection="1"/>
    <xf numFmtId="0" fontId="65" fillId="0" borderId="15" xfId="343" applyFont="1" applyBorder="1" applyAlignment="1">
      <alignment horizontal="right"/>
    </xf>
    <xf numFmtId="184" fontId="65" fillId="0" borderId="54" xfId="344" applyNumberFormat="1" applyFont="1" applyBorder="1" applyProtection="1"/>
    <xf numFmtId="38" fontId="58" fillId="0" borderId="0" xfId="0" applyNumberFormat="1" applyFont="1"/>
    <xf numFmtId="38" fontId="59" fillId="0" borderId="0" xfId="0" applyNumberFormat="1" applyFont="1"/>
    <xf numFmtId="0" fontId="68" fillId="21" borderId="14" xfId="343" applyFont="1" applyFill="1" applyBorder="1" applyAlignment="1">
      <alignment horizontal="right"/>
    </xf>
    <xf numFmtId="184" fontId="68" fillId="21" borderId="53" xfId="344" applyNumberFormat="1" applyFont="1" applyFill="1" applyBorder="1" applyProtection="1"/>
    <xf numFmtId="181" fontId="37" fillId="21" borderId="0" xfId="0" applyNumberFormat="1" applyFont="1" applyFill="1"/>
    <xf numFmtId="42" fontId="37" fillId="21" borderId="0" xfId="0" applyNumberFormat="1" applyFont="1" applyFill="1"/>
    <xf numFmtId="184" fontId="67" fillId="27" borderId="0" xfId="343" applyNumberFormat="1" applyFont="1" applyFill="1"/>
    <xf numFmtId="0" fontId="67" fillId="0" borderId="0" xfId="343" applyFont="1"/>
    <xf numFmtId="164" fontId="36" fillId="0" borderId="0" xfId="0" applyFont="1"/>
    <xf numFmtId="14" fontId="60" fillId="0" borderId="0" xfId="343" applyNumberFormat="1"/>
    <xf numFmtId="0" fontId="69" fillId="0" borderId="0" xfId="343" applyFont="1"/>
    <xf numFmtId="9" fontId="60" fillId="0" borderId="0" xfId="343" applyNumberFormat="1"/>
    <xf numFmtId="10" fontId="0" fillId="0" borderId="0" xfId="345" applyNumberFormat="1" applyFont="1"/>
    <xf numFmtId="43" fontId="60" fillId="0" borderId="0" xfId="343" applyNumberFormat="1"/>
    <xf numFmtId="17" fontId="60" fillId="0" borderId="43" xfId="343" applyNumberFormat="1" applyBorder="1"/>
    <xf numFmtId="9" fontId="60" fillId="0" borderId="44" xfId="343" applyNumberFormat="1" applyBorder="1"/>
    <xf numFmtId="0" fontId="60" fillId="0" borderId="57" xfId="343" applyBorder="1"/>
    <xf numFmtId="17" fontId="60" fillId="0" borderId="16" xfId="343" applyNumberFormat="1" applyBorder="1"/>
    <xf numFmtId="10" fontId="60" fillId="0" borderId="0" xfId="343" applyNumberFormat="1"/>
    <xf numFmtId="17" fontId="60" fillId="0" borderId="45" xfId="343" applyNumberFormat="1" applyBorder="1"/>
    <xf numFmtId="10" fontId="60" fillId="0" borderId="36" xfId="343" applyNumberFormat="1" applyBorder="1"/>
    <xf numFmtId="10" fontId="60" fillId="0" borderId="44" xfId="343" applyNumberFormat="1" applyBorder="1"/>
    <xf numFmtId="10" fontId="70" fillId="0" borderId="0" xfId="345" applyNumberFormat="1" applyFont="1" applyBorder="1"/>
    <xf numFmtId="10" fontId="70" fillId="0" borderId="17" xfId="345" applyNumberFormat="1" applyFont="1" applyBorder="1"/>
    <xf numFmtId="10" fontId="70" fillId="0" borderId="46" xfId="345" applyNumberFormat="1" applyFont="1" applyBorder="1"/>
    <xf numFmtId="10" fontId="70" fillId="0" borderId="57" xfId="345" applyNumberFormat="1" applyFont="1" applyBorder="1"/>
    <xf numFmtId="0" fontId="71" fillId="0" borderId="0" xfId="343" applyFont="1"/>
    <xf numFmtId="0" fontId="73" fillId="0" borderId="0" xfId="343" applyFont="1"/>
    <xf numFmtId="164" fontId="50" fillId="0" borderId="0" xfId="0" applyFont="1" applyAlignment="1">
      <alignment horizontal="center"/>
    </xf>
    <xf numFmtId="164" fontId="4" fillId="31" borderId="0" xfId="0" applyFont="1" applyFill="1" applyAlignment="1">
      <alignment horizontal="center"/>
    </xf>
    <xf numFmtId="164" fontId="42" fillId="30" borderId="0" xfId="0" applyFont="1" applyFill="1" applyAlignment="1">
      <alignment horizontal="center"/>
    </xf>
    <xf numFmtId="164" fontId="42" fillId="32" borderId="0" xfId="0" applyFont="1" applyFill="1" applyAlignment="1">
      <alignment horizontal="center"/>
    </xf>
    <xf numFmtId="164" fontId="42" fillId="33" borderId="0" xfId="0" applyFont="1" applyFill="1" applyAlignment="1">
      <alignment horizontal="center"/>
    </xf>
    <xf numFmtId="164" fontId="42" fillId="34" borderId="0" xfId="0" applyFont="1" applyFill="1" applyAlignment="1">
      <alignment horizontal="center"/>
    </xf>
    <xf numFmtId="164" fontId="42" fillId="35" borderId="0" xfId="0" applyFont="1" applyFill="1" applyAlignment="1">
      <alignment horizontal="center"/>
    </xf>
    <xf numFmtId="164" fontId="38" fillId="0" borderId="0" xfId="0" applyFont="1" applyAlignment="1">
      <alignment horizontal="center"/>
    </xf>
    <xf numFmtId="164" fontId="38" fillId="0" borderId="0" xfId="0" applyFont="1"/>
    <xf numFmtId="164" fontId="37" fillId="0" borderId="0" xfId="0" applyFont="1"/>
    <xf numFmtId="164" fontId="50" fillId="0" borderId="0" xfId="0" applyFont="1"/>
    <xf numFmtId="38" fontId="4" fillId="0" borderId="0" xfId="0" applyNumberFormat="1" applyFont="1"/>
    <xf numFmtId="37" fontId="6" fillId="0" borderId="0" xfId="0" applyNumberFormat="1" applyFont="1" applyProtection="1">
      <protection locked="0"/>
    </xf>
    <xf numFmtId="176" fontId="37" fillId="0" borderId="38" xfId="0" applyNumberFormat="1" applyFont="1" applyBorder="1" applyProtection="1">
      <protection locked="0"/>
    </xf>
    <xf numFmtId="38" fontId="7" fillId="0" borderId="58" xfId="0" applyNumberFormat="1" applyFont="1" applyBorder="1"/>
    <xf numFmtId="38" fontId="2" fillId="0" borderId="0" xfId="0" applyNumberFormat="1" applyFont="1"/>
    <xf numFmtId="0" fontId="4" fillId="0" borderId="0" xfId="0" applyNumberFormat="1" applyFont="1" applyAlignment="1">
      <alignment horizontal="right" vertical="top"/>
    </xf>
    <xf numFmtId="164" fontId="4" fillId="0" borderId="0" xfId="0" applyFont="1" applyAlignment="1">
      <alignment horizontal="justify" vertical="top" wrapText="1"/>
    </xf>
    <xf numFmtId="49" fontId="4" fillId="0" borderId="0" xfId="0" applyNumberFormat="1" applyFont="1" applyAlignment="1">
      <alignment horizontal="right" vertical="top"/>
    </xf>
    <xf numFmtId="164" fontId="38" fillId="0" borderId="0" xfId="0" applyFont="1" applyAlignment="1">
      <alignment horizontal="justify" vertical="top" wrapText="1"/>
    </xf>
    <xf numFmtId="164" fontId="37" fillId="0" borderId="0" xfId="0" applyFont="1" applyProtection="1">
      <protection locked="0"/>
    </xf>
    <xf numFmtId="164" fontId="47" fillId="0" borderId="0" xfId="0" applyFont="1" applyAlignment="1">
      <alignment vertical="center"/>
    </xf>
    <xf numFmtId="170" fontId="6" fillId="18" borderId="0" xfId="0" applyNumberFormat="1" applyFont="1" applyFill="1"/>
    <xf numFmtId="179" fontId="6" fillId="18" borderId="0" xfId="274" applyNumberFormat="1" applyFont="1" applyFill="1" applyProtection="1"/>
    <xf numFmtId="0" fontId="60" fillId="0" borderId="59" xfId="343" applyBorder="1"/>
    <xf numFmtId="184" fontId="70" fillId="28" borderId="59" xfId="344" applyNumberFormat="1" applyFont="1" applyFill="1" applyBorder="1"/>
    <xf numFmtId="0" fontId="60" fillId="0" borderId="14" xfId="343" applyBorder="1"/>
    <xf numFmtId="14" fontId="60" fillId="29" borderId="14" xfId="343" applyNumberFormat="1" applyFill="1" applyBorder="1"/>
    <xf numFmtId="10" fontId="70" fillId="0" borderId="14" xfId="345" applyNumberFormat="1" applyFont="1" applyBorder="1"/>
    <xf numFmtId="184" fontId="70" fillId="27" borderId="14" xfId="344" applyNumberFormat="1" applyFont="1" applyFill="1" applyBorder="1"/>
    <xf numFmtId="0" fontId="72" fillId="0" borderId="15" xfId="343" applyFont="1" applyBorder="1"/>
    <xf numFmtId="184" fontId="72" fillId="0" borderId="15" xfId="344" applyNumberFormat="1" applyFont="1" applyBorder="1"/>
    <xf numFmtId="38" fontId="75" fillId="0" borderId="0" xfId="0" applyNumberFormat="1" applyFont="1"/>
    <xf numFmtId="42" fontId="35" fillId="0" borderId="0" xfId="0" applyNumberFormat="1" applyFont="1"/>
    <xf numFmtId="42" fontId="35" fillId="0" borderId="36" xfId="0" applyNumberFormat="1" applyFont="1" applyBorder="1"/>
    <xf numFmtId="42" fontId="74" fillId="0" borderId="0" xfId="0" applyNumberFormat="1" applyFont="1"/>
    <xf numFmtId="42" fontId="35" fillId="0" borderId="55" xfId="0" applyNumberFormat="1" applyFont="1" applyBorder="1"/>
    <xf numFmtId="42" fontId="35" fillId="0" borderId="56" xfId="0" applyNumberFormat="1" applyFont="1" applyBorder="1"/>
    <xf numFmtId="164" fontId="35" fillId="0" borderId="0" xfId="0" applyFont="1"/>
    <xf numFmtId="38" fontId="76" fillId="0" borderId="0" xfId="0" applyNumberFormat="1" applyFont="1"/>
    <xf numFmtId="164" fontId="74" fillId="0" borderId="0" xfId="0" applyFont="1"/>
    <xf numFmtId="179" fontId="47" fillId="0" borderId="0" xfId="274" applyNumberFormat="1" applyFont="1" applyProtection="1"/>
    <xf numFmtId="164" fontId="47" fillId="0" borderId="0" xfId="0" applyFont="1"/>
    <xf numFmtId="42" fontId="47" fillId="0" borderId="0" xfId="0" applyNumberFormat="1" applyFont="1"/>
    <xf numFmtId="183" fontId="47" fillId="0" borderId="0" xfId="0" applyNumberFormat="1" applyFont="1"/>
    <xf numFmtId="179" fontId="4" fillId="0" borderId="0" xfId="347" applyNumberFormat="1" applyFont="1" applyFill="1" applyBorder="1" applyProtection="1"/>
    <xf numFmtId="179" fontId="76" fillId="0" borderId="0" xfId="347" applyNumberFormat="1" applyFont="1" applyProtection="1"/>
    <xf numFmtId="171" fontId="38" fillId="0" borderId="4" xfId="346" applyNumberFormat="1" applyFont="1" applyBorder="1" applyAlignment="1" applyProtection="1">
      <alignment horizontal="right"/>
      <protection locked="0"/>
    </xf>
    <xf numFmtId="171" fontId="4" fillId="0" borderId="0" xfId="346" applyNumberFormat="1" applyFont="1" applyAlignment="1">
      <alignment horizontal="right"/>
    </xf>
    <xf numFmtId="178" fontId="47" fillId="0" borderId="0" xfId="0" applyNumberFormat="1" applyFont="1" applyAlignment="1">
      <alignment horizontal="center"/>
    </xf>
    <xf numFmtId="0" fontId="76" fillId="0" borderId="0" xfId="346" applyFont="1"/>
    <xf numFmtId="0" fontId="77" fillId="0" borderId="0" xfId="346" applyFont="1" applyAlignment="1">
      <alignment horizontal="center"/>
    </xf>
    <xf numFmtId="0" fontId="76" fillId="0" borderId="0" xfId="346" applyFont="1" applyAlignment="1">
      <alignment horizontal="center"/>
    </xf>
    <xf numFmtId="0" fontId="1" fillId="0" borderId="0" xfId="346"/>
    <xf numFmtId="0" fontId="77" fillId="0" borderId="0" xfId="346" applyFont="1" applyAlignment="1">
      <alignment horizontal="right"/>
    </xf>
    <xf numFmtId="185" fontId="4" fillId="0" borderId="0" xfId="346" applyNumberFormat="1" applyFont="1" applyAlignment="1">
      <alignment horizontal="right"/>
    </xf>
    <xf numFmtId="0" fontId="4" fillId="0" borderId="0" xfId="346" applyFont="1"/>
    <xf numFmtId="186" fontId="4" fillId="0" borderId="0" xfId="346" applyNumberFormat="1" applyFont="1" applyAlignment="1">
      <alignment horizontal="right"/>
    </xf>
    <xf numFmtId="187" fontId="76" fillId="0" borderId="0" xfId="346" applyNumberFormat="1" applyFont="1" applyAlignment="1">
      <alignment horizontal="right"/>
    </xf>
    <xf numFmtId="0" fontId="76" fillId="0" borderId="0" xfId="346" applyFont="1" applyAlignment="1">
      <alignment horizontal="right"/>
    </xf>
    <xf numFmtId="187" fontId="78" fillId="0" borderId="0" xfId="346" applyNumberFormat="1" applyFont="1" applyAlignment="1">
      <alignment horizontal="center"/>
    </xf>
    <xf numFmtId="0" fontId="2" fillId="0" borderId="0" xfId="346" applyFont="1" applyAlignment="1">
      <alignment horizontal="right"/>
    </xf>
    <xf numFmtId="187" fontId="4" fillId="0" borderId="0" xfId="346" applyNumberFormat="1" applyFont="1" applyAlignment="1">
      <alignment horizontal="right"/>
    </xf>
    <xf numFmtId="185" fontId="76" fillId="0" borderId="0" xfId="346" applyNumberFormat="1" applyFont="1"/>
    <xf numFmtId="0" fontId="76" fillId="0" borderId="46" xfId="346" applyFont="1" applyBorder="1" applyAlignment="1">
      <alignment horizontal="right"/>
    </xf>
    <xf numFmtId="186" fontId="77" fillId="37" borderId="4" xfId="346" quotePrefix="1" applyNumberFormat="1" applyFont="1" applyFill="1" applyBorder="1" applyAlignment="1">
      <alignment horizontal="center"/>
    </xf>
    <xf numFmtId="185" fontId="77" fillId="37" borderId="27" xfId="346" applyNumberFormat="1" applyFont="1" applyFill="1" applyBorder="1" applyAlignment="1">
      <alignment horizontal="right"/>
    </xf>
    <xf numFmtId="178" fontId="76" fillId="0" borderId="27" xfId="346" applyNumberFormat="1" applyFont="1" applyBorder="1" applyAlignment="1">
      <alignment horizontal="right"/>
    </xf>
    <xf numFmtId="178" fontId="57" fillId="0" borderId="27" xfId="346" applyNumberFormat="1" applyFont="1" applyBorder="1" applyAlignment="1">
      <alignment horizontal="center"/>
    </xf>
    <xf numFmtId="185" fontId="77" fillId="37" borderId="14" xfId="346" applyNumberFormat="1" applyFont="1" applyFill="1" applyBorder="1" applyAlignment="1">
      <alignment horizontal="right"/>
    </xf>
    <xf numFmtId="178" fontId="76" fillId="0" borderId="14" xfId="346" applyNumberFormat="1" applyFont="1" applyBorder="1" applyAlignment="1">
      <alignment horizontal="right"/>
    </xf>
    <xf numFmtId="178" fontId="57" fillId="0" borderId="14" xfId="346" applyNumberFormat="1" applyFont="1" applyBorder="1" applyAlignment="1">
      <alignment horizontal="center"/>
    </xf>
    <xf numFmtId="178" fontId="40" fillId="0" borderId="14" xfId="346" applyNumberFormat="1" applyFont="1" applyBorder="1"/>
    <xf numFmtId="185" fontId="77" fillId="37" borderId="15" xfId="346" applyNumberFormat="1" applyFont="1" applyFill="1" applyBorder="1" applyAlignment="1">
      <alignment horizontal="right"/>
    </xf>
    <xf numFmtId="178" fontId="40" fillId="0" borderId="15" xfId="346" applyNumberFormat="1" applyFont="1" applyBorder="1"/>
    <xf numFmtId="178" fontId="57" fillId="0" borderId="15" xfId="346" applyNumberFormat="1" applyFont="1" applyBorder="1" applyAlignment="1">
      <alignment horizontal="center"/>
    </xf>
    <xf numFmtId="180" fontId="37" fillId="0" borderId="35" xfId="0" applyNumberFormat="1" applyFont="1" applyBorder="1" applyProtection="1">
      <protection locked="0"/>
    </xf>
    <xf numFmtId="178" fontId="64" fillId="0" borderId="0" xfId="343" applyNumberFormat="1" applyFont="1"/>
    <xf numFmtId="178" fontId="6" fillId="0" borderId="0" xfId="0" applyNumberFormat="1" applyFont="1"/>
    <xf numFmtId="1" fontId="6" fillId="0" borderId="0" xfId="0" applyNumberFormat="1" applyFont="1"/>
    <xf numFmtId="178" fontId="6" fillId="0" borderId="0" xfId="0" applyNumberFormat="1" applyFont="1" applyAlignment="1">
      <alignment horizontal="center"/>
    </xf>
    <xf numFmtId="180" fontId="6" fillId="0" borderId="35" xfId="0" applyNumberFormat="1" applyFont="1" applyBorder="1"/>
    <xf numFmtId="164" fontId="4" fillId="0" borderId="8" xfId="0" applyFont="1" applyBorder="1"/>
    <xf numFmtId="6" fontId="4" fillId="0" borderId="27" xfId="0" applyNumberFormat="1" applyFont="1" applyBorder="1" applyAlignment="1">
      <alignment vertical="top"/>
    </xf>
    <xf numFmtId="6" fontId="4" fillId="0" borderId="27" xfId="0" applyNumberFormat="1" applyFont="1" applyBorder="1" applyAlignment="1">
      <alignment horizontal="right" vertical="top"/>
    </xf>
    <xf numFmtId="6" fontId="4" fillId="0" borderId="59" xfId="0" applyNumberFormat="1" applyFont="1" applyBorder="1" applyAlignment="1">
      <alignment vertical="top"/>
    </xf>
    <xf numFmtId="6" fontId="4" fillId="0" borderId="50" xfId="0" applyNumberFormat="1" applyFont="1" applyBorder="1" applyAlignment="1">
      <alignment horizontal="right" vertical="top"/>
    </xf>
    <xf numFmtId="6" fontId="4" fillId="21" borderId="27" xfId="0" applyNumberFormat="1" applyFont="1" applyFill="1" applyBorder="1" applyAlignment="1">
      <alignment vertical="top"/>
    </xf>
    <xf numFmtId="6" fontId="4" fillId="24" borderId="27" xfId="0" applyNumberFormat="1" applyFont="1" applyFill="1" applyBorder="1" applyAlignment="1">
      <alignment horizontal="right" vertical="top"/>
    </xf>
    <xf numFmtId="0" fontId="4" fillId="0" borderId="14" xfId="0" applyNumberFormat="1" applyFont="1" applyBorder="1" applyAlignment="1">
      <alignment horizontal="right" vertical="top"/>
    </xf>
    <xf numFmtId="49" fontId="2" fillId="21" borderId="14" xfId="0" applyNumberFormat="1" applyFont="1" applyFill="1" applyBorder="1" applyAlignment="1">
      <alignment vertical="top"/>
    </xf>
    <xf numFmtId="49" fontId="7" fillId="21" borderId="63" xfId="0" applyNumberFormat="1" applyFont="1" applyFill="1" applyBorder="1" applyAlignment="1">
      <alignment horizontal="center" vertical="center"/>
    </xf>
    <xf numFmtId="49" fontId="7" fillId="21" borderId="64" xfId="0" applyNumberFormat="1" applyFont="1" applyFill="1" applyBorder="1" applyAlignment="1">
      <alignment horizontal="center" vertical="center"/>
    </xf>
    <xf numFmtId="164" fontId="41" fillId="0" borderId="0" xfId="0" applyFont="1" applyAlignment="1">
      <alignment horizontal="center"/>
    </xf>
    <xf numFmtId="164" fontId="78" fillId="0" borderId="0" xfId="0" applyFont="1" applyAlignment="1">
      <alignment horizontal="center" vertical="center"/>
    </xf>
    <xf numFmtId="185" fontId="80" fillId="0" borderId="0" xfId="346" applyNumberFormat="1" applyFont="1" applyAlignment="1">
      <alignment horizontal="right"/>
    </xf>
    <xf numFmtId="0" fontId="80" fillId="0" borderId="0" xfId="346" applyFont="1"/>
    <xf numFmtId="186" fontId="80" fillId="0" borderId="0" xfId="346" applyNumberFormat="1" applyFont="1" applyAlignment="1">
      <alignment horizontal="right"/>
    </xf>
    <xf numFmtId="187" fontId="80" fillId="0" borderId="0" xfId="346" applyNumberFormat="1" applyFont="1" applyAlignment="1">
      <alignment horizontal="right"/>
    </xf>
    <xf numFmtId="171" fontId="80" fillId="0" borderId="0" xfId="346" applyNumberFormat="1" applyFont="1" applyAlignment="1">
      <alignment horizontal="right"/>
    </xf>
    <xf numFmtId="185" fontId="80" fillId="0" borderId="0" xfId="346" applyNumberFormat="1" applyFont="1"/>
    <xf numFmtId="179" fontId="80" fillId="0" borderId="0" xfId="347" applyNumberFormat="1" applyFont="1" applyProtection="1"/>
    <xf numFmtId="188" fontId="80" fillId="0" borderId="0" xfId="347" applyNumberFormat="1" applyFont="1" applyProtection="1"/>
    <xf numFmtId="0" fontId="81" fillId="0" borderId="0" xfId="346" applyFont="1" applyAlignment="1">
      <alignment horizontal="center"/>
    </xf>
    <xf numFmtId="0" fontId="82" fillId="0" borderId="0" xfId="346" applyFont="1" applyAlignment="1">
      <alignment horizontal="right"/>
    </xf>
    <xf numFmtId="185" fontId="84" fillId="0" borderId="0" xfId="346" applyNumberFormat="1" applyFont="1" applyAlignment="1">
      <alignment horizontal="right"/>
    </xf>
    <xf numFmtId="0" fontId="84" fillId="0" borderId="0" xfId="346" applyFont="1"/>
    <xf numFmtId="186" fontId="84" fillId="0" borderId="0" xfId="346" applyNumberFormat="1" applyFont="1" applyAlignment="1">
      <alignment horizontal="right"/>
    </xf>
    <xf numFmtId="187" fontId="84" fillId="0" borderId="0" xfId="346" applyNumberFormat="1" applyFont="1" applyAlignment="1">
      <alignment horizontal="right"/>
    </xf>
    <xf numFmtId="171" fontId="84" fillId="0" borderId="0" xfId="346" applyNumberFormat="1" applyFont="1" applyAlignment="1">
      <alignment horizontal="right"/>
    </xf>
    <xf numFmtId="185" fontId="84" fillId="0" borderId="0" xfId="346" applyNumberFormat="1" applyFont="1"/>
    <xf numFmtId="179" fontId="84" fillId="0" borderId="0" xfId="347" applyNumberFormat="1" applyFont="1" applyProtection="1"/>
    <xf numFmtId="188" fontId="84" fillId="0" borderId="0" xfId="347" applyNumberFormat="1" applyFont="1" applyProtection="1"/>
    <xf numFmtId="0" fontId="85" fillId="0" borderId="0" xfId="346" applyFont="1" applyAlignment="1">
      <alignment horizontal="center"/>
    </xf>
    <xf numFmtId="0" fontId="86" fillId="0" borderId="0" xfId="346" applyFont="1" applyAlignment="1">
      <alignment horizontal="right"/>
    </xf>
    <xf numFmtId="0" fontId="87" fillId="0" borderId="0" xfId="346" applyFont="1" applyAlignment="1">
      <alignment horizontal="center"/>
    </xf>
    <xf numFmtId="0" fontId="88" fillId="0" borderId="0" xfId="346" applyFont="1" applyAlignment="1">
      <alignment horizontal="right"/>
    </xf>
    <xf numFmtId="185" fontId="90" fillId="0" borderId="0" xfId="346" applyNumberFormat="1" applyFont="1" applyAlignment="1">
      <alignment horizontal="right"/>
    </xf>
    <xf numFmtId="0" fontId="90" fillId="0" borderId="0" xfId="346" applyFont="1"/>
    <xf numFmtId="186" fontId="90" fillId="0" borderId="0" xfId="346" applyNumberFormat="1" applyFont="1" applyAlignment="1">
      <alignment horizontal="right"/>
    </xf>
    <xf numFmtId="187" fontId="90" fillId="0" borderId="0" xfId="346" applyNumberFormat="1" applyFont="1" applyAlignment="1">
      <alignment horizontal="right"/>
    </xf>
    <xf numFmtId="171" fontId="90" fillId="0" borderId="0" xfId="346" applyNumberFormat="1" applyFont="1" applyAlignment="1">
      <alignment horizontal="right"/>
    </xf>
    <xf numFmtId="185" fontId="90" fillId="0" borderId="0" xfId="346" applyNumberFormat="1" applyFont="1"/>
    <xf numFmtId="179" fontId="90" fillId="0" borderId="0" xfId="347" applyNumberFormat="1" applyFont="1" applyProtection="1"/>
    <xf numFmtId="188" fontId="90" fillId="0" borderId="0" xfId="347" applyNumberFormat="1" applyFont="1" applyProtection="1"/>
    <xf numFmtId="0" fontId="91" fillId="0" borderId="0" xfId="346" applyFont="1" applyAlignment="1">
      <alignment horizontal="center"/>
    </xf>
    <xf numFmtId="0" fontId="91" fillId="0" borderId="0" xfId="346" applyFont="1" applyAlignment="1">
      <alignment horizontal="right"/>
    </xf>
    <xf numFmtId="185" fontId="93" fillId="0" borderId="0" xfId="346" applyNumberFormat="1" applyFont="1" applyAlignment="1">
      <alignment horizontal="right"/>
    </xf>
    <xf numFmtId="0" fontId="93" fillId="0" borderId="0" xfId="346" applyFont="1"/>
    <xf numFmtId="186" fontId="93" fillId="0" borderId="0" xfId="346" applyNumberFormat="1" applyFont="1" applyAlignment="1">
      <alignment horizontal="right"/>
    </xf>
    <xf numFmtId="187" fontId="93" fillId="0" borderId="0" xfId="346" applyNumberFormat="1" applyFont="1" applyAlignment="1">
      <alignment horizontal="right"/>
    </xf>
    <xf numFmtId="171" fontId="93" fillId="0" borderId="0" xfId="346" applyNumberFormat="1" applyFont="1" applyAlignment="1">
      <alignment horizontal="right"/>
    </xf>
    <xf numFmtId="185" fontId="93" fillId="0" borderId="0" xfId="346" applyNumberFormat="1" applyFont="1"/>
    <xf numFmtId="179" fontId="93" fillId="0" borderId="0" xfId="347" applyNumberFormat="1" applyFont="1" applyProtection="1"/>
    <xf numFmtId="188" fontId="93" fillId="0" borderId="0" xfId="347" applyNumberFormat="1" applyFont="1" applyProtection="1"/>
    <xf numFmtId="178" fontId="51" fillId="0" borderId="0" xfId="0" applyNumberFormat="1" applyFont="1"/>
    <xf numFmtId="9" fontId="60" fillId="0" borderId="0" xfId="274" applyFont="1"/>
    <xf numFmtId="10" fontId="0" fillId="0" borderId="0" xfId="344" applyNumberFormat="1" applyFont="1"/>
    <xf numFmtId="164" fontId="4" fillId="38" borderId="65" xfId="0" applyFont="1" applyFill="1" applyBorder="1" applyAlignment="1">
      <alignment horizontal="center" vertical="center"/>
    </xf>
    <xf numFmtId="164" fontId="4" fillId="0" borderId="65" xfId="0" applyFont="1" applyBorder="1" applyAlignment="1">
      <alignment horizontal="center" vertical="center"/>
    </xf>
    <xf numFmtId="164" fontId="42" fillId="42" borderId="65" xfId="0" applyFont="1" applyFill="1" applyBorder="1" applyAlignment="1">
      <alignment horizontal="center" vertical="center"/>
    </xf>
    <xf numFmtId="164" fontId="42" fillId="41" borderId="65" xfId="0" applyFont="1" applyFill="1" applyBorder="1" applyAlignment="1">
      <alignment horizontal="center" vertical="center"/>
    </xf>
    <xf numFmtId="164" fontId="42" fillId="20" borderId="65" xfId="0" applyFont="1" applyFill="1" applyBorder="1" applyAlignment="1">
      <alignment horizontal="center" vertical="center"/>
    </xf>
    <xf numFmtId="164" fontId="42" fillId="39" borderId="65" xfId="0" applyFont="1" applyFill="1" applyBorder="1" applyAlignment="1">
      <alignment horizontal="center" vertical="center"/>
    </xf>
    <xf numFmtId="164" fontId="42" fillId="40" borderId="65" xfId="0" applyFont="1" applyFill="1" applyBorder="1" applyAlignment="1">
      <alignment horizontal="center" vertical="center"/>
    </xf>
    <xf numFmtId="164" fontId="42" fillId="23" borderId="65" xfId="0" applyFont="1" applyFill="1" applyBorder="1" applyAlignment="1">
      <alignment horizontal="center" vertical="center"/>
    </xf>
    <xf numFmtId="164" fontId="4" fillId="43" borderId="65" xfId="0" applyFont="1" applyFill="1" applyBorder="1" applyAlignment="1">
      <alignment horizontal="center" vertical="center"/>
    </xf>
    <xf numFmtId="164" fontId="6" fillId="0" borderId="66" xfId="0" applyFont="1" applyBorder="1" applyAlignment="1">
      <alignment horizontal="right"/>
    </xf>
    <xf numFmtId="171" fontId="6" fillId="0" borderId="67" xfId="0" applyNumberFormat="1" applyFont="1" applyBorder="1" applyAlignment="1">
      <alignment horizontal="right"/>
    </xf>
    <xf numFmtId="171" fontId="6" fillId="0" borderId="67" xfId="0" applyNumberFormat="1" applyFont="1" applyBorder="1"/>
    <xf numFmtId="10" fontId="4" fillId="0" borderId="0" xfId="274" applyNumberFormat="1" applyFont="1" applyProtection="1"/>
    <xf numFmtId="10" fontId="2" fillId="0" borderId="0" xfId="274" applyNumberFormat="1" applyFont="1" applyProtection="1"/>
    <xf numFmtId="0" fontId="94" fillId="0" borderId="0" xfId="346" applyFont="1" applyAlignment="1">
      <alignment horizontal="right"/>
    </xf>
    <xf numFmtId="0" fontId="40" fillId="0" borderId="0" xfId="346" applyFont="1"/>
    <xf numFmtId="0" fontId="40" fillId="0" borderId="0" xfId="346" applyFont="1" applyAlignment="1">
      <alignment horizontal="center"/>
    </xf>
    <xf numFmtId="188" fontId="38" fillId="19" borderId="65" xfId="347" applyNumberFormat="1" applyFont="1" applyFill="1" applyBorder="1" applyProtection="1">
      <protection locked="0"/>
    </xf>
    <xf numFmtId="189" fontId="95" fillId="0" borderId="0" xfId="346" applyNumberFormat="1" applyFont="1"/>
    <xf numFmtId="49" fontId="4" fillId="0" borderId="14" xfId="0" applyNumberFormat="1" applyFont="1" applyBorder="1" applyAlignment="1">
      <alignment horizontal="center" vertical="top"/>
    </xf>
    <xf numFmtId="49" fontId="4" fillId="0" borderId="28" xfId="0" applyNumberFormat="1" applyFont="1" applyBorder="1" applyAlignment="1">
      <alignment vertical="top"/>
    </xf>
    <xf numFmtId="1" fontId="4" fillId="0" borderId="28" xfId="0" applyNumberFormat="1" applyFont="1" applyBorder="1" applyAlignment="1">
      <alignment vertical="top"/>
    </xf>
    <xf numFmtId="6" fontId="4" fillId="0" borderId="11" xfId="0" applyNumberFormat="1" applyFont="1" applyBorder="1" applyAlignment="1">
      <alignment vertical="top"/>
    </xf>
    <xf numFmtId="6" fontId="4" fillId="0" borderId="11" xfId="0" applyNumberFormat="1" applyFont="1" applyBorder="1" applyAlignment="1">
      <alignment horizontal="right" vertical="top"/>
    </xf>
    <xf numFmtId="49" fontId="4" fillId="0" borderId="27" xfId="0" applyNumberFormat="1" applyFont="1" applyBorder="1" applyAlignment="1">
      <alignment horizontal="left" vertical="top" wrapText="1" indent="2"/>
    </xf>
    <xf numFmtId="49" fontId="4" fillId="0" borderId="27" xfId="0" applyNumberFormat="1" applyFont="1" applyBorder="1" applyAlignment="1">
      <alignment horizontal="center" vertical="top"/>
    </xf>
    <xf numFmtId="1" fontId="4" fillId="0" borderId="27" xfId="0" applyNumberFormat="1" applyFont="1" applyBorder="1" applyAlignment="1">
      <alignment vertical="top"/>
    </xf>
    <xf numFmtId="49" fontId="4" fillId="0" borderId="27" xfId="0" applyNumberFormat="1" applyFont="1" applyBorder="1" applyAlignment="1">
      <alignment vertical="top"/>
    </xf>
    <xf numFmtId="49" fontId="2" fillId="21" borderId="65" xfId="0" applyNumberFormat="1" applyFont="1" applyFill="1" applyBorder="1" applyAlignment="1">
      <alignment vertical="top"/>
    </xf>
    <xf numFmtId="49" fontId="2" fillId="21" borderId="65" xfId="0" applyNumberFormat="1" applyFont="1" applyFill="1" applyBorder="1" applyAlignment="1">
      <alignment horizontal="center" vertical="top"/>
    </xf>
    <xf numFmtId="1" fontId="4" fillId="21" borderId="65" xfId="0" applyNumberFormat="1" applyFont="1" applyFill="1" applyBorder="1" applyAlignment="1">
      <alignment vertical="top"/>
    </xf>
    <xf numFmtId="49" fontId="4" fillId="21" borderId="65" xfId="0" applyNumberFormat="1" applyFont="1" applyFill="1" applyBorder="1" applyAlignment="1">
      <alignment vertical="top"/>
    </xf>
    <xf numFmtId="164" fontId="7" fillId="18" borderId="0" xfId="0" quotePrefix="1" applyFont="1" applyFill="1" applyAlignment="1">
      <alignment horizontal="left" indent="1"/>
    </xf>
    <xf numFmtId="164" fontId="6" fillId="0" borderId="0" xfId="0" applyFont="1" applyAlignment="1">
      <alignment horizontal="left" indent="2"/>
    </xf>
    <xf numFmtId="164" fontId="37" fillId="21" borderId="0" xfId="0" quotePrefix="1" applyFont="1" applyFill="1" applyAlignment="1">
      <alignment horizontal="left" indent="3"/>
    </xf>
    <xf numFmtId="179" fontId="37" fillId="0" borderId="65" xfId="0" applyNumberFormat="1" applyFont="1" applyBorder="1" applyProtection="1">
      <protection locked="0"/>
    </xf>
    <xf numFmtId="179" fontId="6" fillId="0" borderId="65" xfId="0" applyNumberFormat="1" applyFont="1" applyBorder="1"/>
    <xf numFmtId="179" fontId="37" fillId="0" borderId="70" xfId="0" applyNumberFormat="1" applyFont="1" applyBorder="1" applyProtection="1">
      <protection locked="0"/>
    </xf>
    <xf numFmtId="178" fontId="4" fillId="0" borderId="14" xfId="346" applyNumberFormat="1" applyFont="1" applyBorder="1"/>
    <xf numFmtId="164" fontId="98" fillId="0" borderId="0" xfId="0" applyFont="1" applyAlignment="1">
      <alignment horizontal="justify" vertical="top" wrapText="1"/>
    </xf>
    <xf numFmtId="164" fontId="40" fillId="0" borderId="0" xfId="0" applyFont="1" applyAlignment="1">
      <alignment horizontal="justify" vertical="top" wrapText="1"/>
    </xf>
    <xf numFmtId="164" fontId="55" fillId="20" borderId="0" xfId="0" applyFont="1" applyFill="1" applyAlignment="1">
      <alignment horizontal="center"/>
    </xf>
    <xf numFmtId="164" fontId="56" fillId="20" borderId="0" xfId="0" applyFont="1" applyFill="1" applyAlignment="1">
      <alignment horizontal="center"/>
    </xf>
    <xf numFmtId="164" fontId="44" fillId="36" borderId="33" xfId="0" applyFont="1" applyFill="1" applyBorder="1" applyAlignment="1">
      <alignment horizontal="center"/>
    </xf>
    <xf numFmtId="164" fontId="44" fillId="36" borderId="0" xfId="0" applyFont="1" applyFill="1" applyAlignment="1">
      <alignment horizontal="center"/>
    </xf>
    <xf numFmtId="164" fontId="7" fillId="0" borderId="0" xfId="0" applyFont="1" applyAlignment="1">
      <alignment horizontal="left"/>
    </xf>
    <xf numFmtId="164" fontId="6" fillId="0" borderId="0" xfId="0" applyFont="1" applyAlignment="1">
      <alignment horizontal="left"/>
    </xf>
    <xf numFmtId="164" fontId="56" fillId="36" borderId="0" xfId="0" applyFont="1" applyFill="1" applyAlignment="1">
      <alignment horizontal="center" vertical="center"/>
    </xf>
    <xf numFmtId="164" fontId="37" fillId="0" borderId="16" xfId="0" applyFont="1" applyBorder="1" applyAlignment="1" applyProtection="1">
      <alignment horizontal="left" shrinkToFit="1"/>
      <protection locked="0"/>
    </xf>
    <xf numFmtId="164" fontId="37" fillId="0" borderId="0" xfId="0" applyFont="1" applyAlignment="1" applyProtection="1">
      <alignment horizontal="left" shrinkToFit="1"/>
      <protection locked="0"/>
    </xf>
    <xf numFmtId="164" fontId="37" fillId="0" borderId="17" xfId="0" applyFont="1" applyBorder="1" applyAlignment="1" applyProtection="1">
      <alignment horizontal="left" shrinkToFit="1"/>
      <protection locked="0"/>
    </xf>
    <xf numFmtId="164" fontId="37" fillId="21" borderId="16" xfId="0" applyFont="1" applyFill="1" applyBorder="1" applyAlignment="1" applyProtection="1">
      <alignment horizontal="left" shrinkToFit="1"/>
      <protection locked="0"/>
    </xf>
    <xf numFmtId="164" fontId="37" fillId="21" borderId="0" xfId="0" applyFont="1" applyFill="1" applyAlignment="1" applyProtection="1">
      <alignment horizontal="left" shrinkToFit="1"/>
      <protection locked="0"/>
    </xf>
    <xf numFmtId="164" fontId="37" fillId="21" borderId="17" xfId="0" applyFont="1" applyFill="1" applyBorder="1" applyAlignment="1" applyProtection="1">
      <alignment horizontal="left" shrinkToFit="1"/>
      <protection locked="0"/>
    </xf>
    <xf numFmtId="164" fontId="37" fillId="0" borderId="0" xfId="0" applyFont="1" applyAlignment="1" applyProtection="1">
      <alignment horizontal="left"/>
      <protection locked="0"/>
    </xf>
    <xf numFmtId="164" fontId="37" fillId="0" borderId="30" xfId="0" applyFont="1" applyBorder="1" applyAlignment="1" applyProtection="1">
      <alignment horizontal="left"/>
      <protection locked="0"/>
    </xf>
    <xf numFmtId="164" fontId="7" fillId="21" borderId="41" xfId="0" applyFont="1" applyFill="1" applyBorder="1" applyAlignment="1">
      <alignment horizontal="center" shrinkToFit="1"/>
    </xf>
    <xf numFmtId="164" fontId="7" fillId="21" borderId="48" xfId="0" applyFont="1" applyFill="1" applyBorder="1" applyAlignment="1">
      <alignment horizontal="center" shrinkToFit="1"/>
    </xf>
    <xf numFmtId="164" fontId="7" fillId="21" borderId="49" xfId="0" applyFont="1" applyFill="1" applyBorder="1" applyAlignment="1">
      <alignment horizontal="center" shrinkToFit="1"/>
    </xf>
    <xf numFmtId="164" fontId="36" fillId="0" borderId="0" xfId="0" applyFont="1" applyAlignment="1" applyProtection="1">
      <alignment horizontal="left"/>
      <protection locked="0"/>
    </xf>
    <xf numFmtId="164" fontId="9" fillId="0" borderId="0" xfId="0" applyFont="1" applyAlignment="1">
      <alignment horizontal="left"/>
    </xf>
    <xf numFmtId="164" fontId="35" fillId="0" borderId="0" xfId="0" applyFont="1" applyAlignment="1">
      <alignment horizontal="left" shrinkToFit="1"/>
    </xf>
    <xf numFmtId="44" fontId="6" fillId="0" borderId="44" xfId="0" applyNumberFormat="1" applyFont="1" applyBorder="1" applyAlignment="1">
      <alignment horizontal="right"/>
    </xf>
    <xf numFmtId="164" fontId="37" fillId="0" borderId="45" xfId="0" applyFont="1" applyBorder="1" applyAlignment="1" applyProtection="1">
      <alignment horizontal="left" shrinkToFit="1"/>
      <protection locked="0"/>
    </xf>
    <xf numFmtId="164" fontId="37" fillId="0" borderId="36" xfId="0" applyFont="1" applyBorder="1" applyAlignment="1" applyProtection="1">
      <alignment horizontal="left" shrinkToFit="1"/>
      <protection locked="0"/>
    </xf>
    <xf numFmtId="164" fontId="37" fillId="0" borderId="46" xfId="0" applyFont="1" applyBorder="1" applyAlignment="1" applyProtection="1">
      <alignment horizontal="left" shrinkToFit="1"/>
      <protection locked="0"/>
    </xf>
    <xf numFmtId="164" fontId="37" fillId="0" borderId="36" xfId="0" applyFont="1" applyBorder="1" applyAlignment="1">
      <alignment horizontal="left" indent="1" shrinkToFit="1"/>
    </xf>
    <xf numFmtId="164" fontId="37" fillId="0" borderId="0" xfId="0" quotePrefix="1" applyFont="1" applyAlignment="1" applyProtection="1">
      <alignment horizontal="left" indent="3"/>
      <protection locked="0"/>
    </xf>
    <xf numFmtId="164" fontId="37" fillId="21" borderId="36" xfId="0" applyFont="1" applyFill="1" applyBorder="1" applyAlignment="1" applyProtection="1">
      <alignment horizontal="left" shrinkToFit="1"/>
      <protection locked="0"/>
    </xf>
    <xf numFmtId="164" fontId="6" fillId="0" borderId="44" xfId="0" applyFont="1" applyBorder="1" applyAlignment="1">
      <alignment horizontal="right"/>
    </xf>
    <xf numFmtId="164" fontId="6" fillId="0" borderId="47" xfId="0" applyFont="1" applyBorder="1" applyAlignment="1">
      <alignment horizontal="right"/>
    </xf>
    <xf numFmtId="164" fontId="55" fillId="25" borderId="0" xfId="0" applyFont="1" applyFill="1" applyAlignment="1">
      <alignment horizontal="center"/>
    </xf>
    <xf numFmtId="164" fontId="56" fillId="25" borderId="0" xfId="0" applyFont="1" applyFill="1" applyAlignment="1">
      <alignment horizontal="center"/>
    </xf>
    <xf numFmtId="164" fontId="6" fillId="0" borderId="30" xfId="0" applyFont="1" applyBorder="1" applyAlignment="1">
      <alignment horizontal="left"/>
    </xf>
    <xf numFmtId="164" fontId="6" fillId="0" borderId="0" xfId="0" applyFont="1" applyAlignment="1">
      <alignment horizontal="left" shrinkToFit="1"/>
    </xf>
    <xf numFmtId="164" fontId="7" fillId="18" borderId="41" xfId="0" applyFont="1" applyFill="1" applyBorder="1" applyAlignment="1">
      <alignment horizontal="center" shrinkToFit="1"/>
    </xf>
    <xf numFmtId="164" fontId="7" fillId="18" borderId="48" xfId="0" applyFont="1" applyFill="1" applyBorder="1" applyAlignment="1">
      <alignment horizontal="center" shrinkToFit="1"/>
    </xf>
    <xf numFmtId="164" fontId="7" fillId="18" borderId="49" xfId="0" applyFont="1" applyFill="1" applyBorder="1" applyAlignment="1">
      <alignment horizontal="center" shrinkToFit="1"/>
    </xf>
    <xf numFmtId="164" fontId="6" fillId="0" borderId="16" xfId="0" applyFont="1" applyBorder="1" applyAlignment="1">
      <alignment horizontal="left" shrinkToFit="1"/>
    </xf>
    <xf numFmtId="164" fontId="6" fillId="0" borderId="17" xfId="0" applyFont="1" applyBorder="1" applyAlignment="1">
      <alignment horizontal="left" shrinkToFit="1"/>
    </xf>
    <xf numFmtId="164" fontId="6" fillId="18" borderId="16" xfId="0" applyFont="1" applyFill="1" applyBorder="1" applyAlignment="1">
      <alignment horizontal="left" shrinkToFit="1"/>
    </xf>
    <xf numFmtId="164" fontId="6" fillId="18" borderId="0" xfId="0" applyFont="1" applyFill="1" applyAlignment="1">
      <alignment horizontal="left" shrinkToFit="1"/>
    </xf>
    <xf numFmtId="164" fontId="6" fillId="18" borderId="17" xfId="0" applyFont="1" applyFill="1" applyBorder="1" applyAlignment="1">
      <alignment horizontal="left" shrinkToFit="1"/>
    </xf>
    <xf numFmtId="164" fontId="6" fillId="0" borderId="45" xfId="0" applyFont="1" applyBorder="1" applyAlignment="1">
      <alignment horizontal="left" shrinkToFit="1"/>
    </xf>
    <xf numFmtId="164" fontId="6" fillId="0" borderId="36" xfId="0" applyFont="1" applyBorder="1" applyAlignment="1">
      <alignment horizontal="left" shrinkToFit="1"/>
    </xf>
    <xf numFmtId="164" fontId="6" fillId="0" borderId="46" xfId="0" applyFont="1" applyBorder="1" applyAlignment="1">
      <alignment horizontal="left" shrinkToFit="1"/>
    </xf>
    <xf numFmtId="164" fontId="6" fillId="0" borderId="36" xfId="0" applyFont="1" applyBorder="1" applyAlignment="1">
      <alignment horizontal="left" indent="1" shrinkToFit="1"/>
    </xf>
    <xf numFmtId="164" fontId="6" fillId="18" borderId="36" xfId="0" applyFont="1" applyFill="1" applyBorder="1" applyAlignment="1">
      <alignment horizontal="left" shrinkToFit="1"/>
    </xf>
    <xf numFmtId="164" fontId="6" fillId="0" borderId="0" xfId="0" quotePrefix="1" applyFont="1" applyAlignment="1">
      <alignment horizontal="left" indent="3"/>
    </xf>
    <xf numFmtId="0" fontId="79" fillId="0" borderId="0" xfId="346" applyFont="1" applyAlignment="1">
      <alignment horizontal="center"/>
    </xf>
    <xf numFmtId="0" fontId="92" fillId="0" borderId="0" xfId="346" applyFont="1" applyAlignment="1">
      <alignment horizontal="center"/>
    </xf>
    <xf numFmtId="164" fontId="78" fillId="0" borderId="0" xfId="0" applyFont="1" applyAlignment="1">
      <alignment horizontal="center"/>
    </xf>
    <xf numFmtId="0" fontId="83" fillId="0" borderId="0" xfId="346" applyFont="1" applyAlignment="1">
      <alignment horizontal="center"/>
    </xf>
    <xf numFmtId="0" fontId="89" fillId="0" borderId="0" xfId="346" applyFont="1" applyAlignment="1">
      <alignment horizontal="center"/>
    </xf>
    <xf numFmtId="0" fontId="10" fillId="21" borderId="0" xfId="0" applyNumberFormat="1" applyFont="1" applyFill="1" applyAlignment="1">
      <alignment horizontal="center"/>
    </xf>
    <xf numFmtId="164" fontId="12" fillId="0" borderId="0" xfId="0" applyFont="1" applyAlignment="1">
      <alignment horizontal="justify" vertical="top" wrapText="1"/>
    </xf>
    <xf numFmtId="0" fontId="11" fillId="23" borderId="41" xfId="0" applyNumberFormat="1" applyFont="1" applyFill="1" applyBorder="1" applyAlignment="1">
      <alignment horizontal="center" vertical="center"/>
    </xf>
    <xf numFmtId="0" fontId="11" fillId="23" borderId="48" xfId="0" applyNumberFormat="1" applyFont="1" applyFill="1" applyBorder="1" applyAlignment="1">
      <alignment horizontal="center" vertical="center"/>
    </xf>
    <xf numFmtId="0" fontId="11" fillId="23" borderId="60" xfId="0" applyNumberFormat="1" applyFont="1" applyFill="1" applyBorder="1" applyAlignment="1">
      <alignment horizontal="center" vertical="center"/>
    </xf>
    <xf numFmtId="0" fontId="11" fillId="23" borderId="49" xfId="0" applyNumberFormat="1" applyFont="1" applyFill="1" applyBorder="1" applyAlignment="1">
      <alignment horizontal="center" vertical="center"/>
    </xf>
    <xf numFmtId="49" fontId="4" fillId="0" borderId="28" xfId="0" applyNumberFormat="1" applyFont="1" applyBorder="1" applyAlignment="1">
      <alignment horizontal="left" vertical="top" wrapText="1"/>
    </xf>
    <xf numFmtId="49" fontId="4" fillId="0" borderId="27" xfId="0" applyNumberFormat="1" applyFont="1" applyBorder="1" applyAlignment="1">
      <alignment horizontal="left" vertical="top" wrapText="1"/>
    </xf>
    <xf numFmtId="49" fontId="2" fillId="21" borderId="61" xfId="0" applyNumberFormat="1" applyFont="1" applyFill="1" applyBorder="1" applyAlignment="1">
      <alignment horizontal="center" vertical="center"/>
    </xf>
    <xf numFmtId="49" fontId="2" fillId="21" borderId="62" xfId="0" applyNumberFormat="1" applyFont="1" applyFill="1" applyBorder="1" applyAlignment="1">
      <alignment horizontal="center" vertical="center"/>
    </xf>
    <xf numFmtId="1" fontId="2" fillId="21" borderId="68" xfId="0" applyNumberFormat="1" applyFont="1" applyFill="1" applyBorder="1" applyAlignment="1">
      <alignment horizontal="center" vertical="top"/>
    </xf>
    <xf numFmtId="1" fontId="2" fillId="21" borderId="69" xfId="0" applyNumberFormat="1" applyFont="1" applyFill="1" applyBorder="1" applyAlignment="1">
      <alignment horizontal="center" vertical="top"/>
    </xf>
    <xf numFmtId="49" fontId="2" fillId="21" borderId="6" xfId="0" applyNumberFormat="1" applyFont="1" applyFill="1" applyBorder="1" applyAlignment="1">
      <alignment horizontal="center" vertical="center"/>
    </xf>
    <xf numFmtId="49" fontId="2" fillId="21" borderId="38" xfId="0" applyNumberFormat="1" applyFont="1" applyFill="1" applyBorder="1" applyAlignment="1">
      <alignment horizontal="center" vertical="center"/>
    </xf>
    <xf numFmtId="49" fontId="2" fillId="21" borderId="6" xfId="0" applyNumberFormat="1" applyFont="1" applyFill="1" applyBorder="1" applyAlignment="1">
      <alignment horizontal="center" vertical="center" wrapText="1"/>
    </xf>
    <xf numFmtId="49" fontId="2" fillId="21" borderId="38" xfId="0" applyNumberFormat="1" applyFont="1" applyFill="1" applyBorder="1" applyAlignment="1">
      <alignment horizontal="center" vertical="center" wrapText="1"/>
    </xf>
    <xf numFmtId="164" fontId="37" fillId="0" borderId="0" xfId="0" quotePrefix="1" applyFont="1" applyAlignment="1" applyProtection="1">
      <alignment horizontal="left" indent="2"/>
      <protection locked="0"/>
    </xf>
  </cellXfs>
  <cellStyles count="348">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ma 2" xfId="344" xr:uid="{A90C1C31-9920-6D41-9544-EAB314FD5FAC}"/>
    <cellStyle name="Explanatory Text" xfId="28" xr:uid="{00000000-0005-0000-0000-00001B000000}"/>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Good" xfId="29" xr:uid="{00000000-0005-0000-0000-0000B2000000}"/>
    <cellStyle name="Heading 1" xfId="30" xr:uid="{00000000-0005-0000-0000-0000B3000000}"/>
    <cellStyle name="Heading 2" xfId="31" xr:uid="{00000000-0005-0000-0000-0000B4000000}"/>
    <cellStyle name="Heading 3" xfId="32" xr:uid="{00000000-0005-0000-0000-0000B5000000}"/>
    <cellStyle name="Heading 4" xfId="33" xr:uid="{00000000-0005-0000-0000-0000B6000000}"/>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Input" xfId="34" xr:uid="{00000000-0005-0000-0000-00004D010000}"/>
    <cellStyle name="Linked Cell" xfId="35" xr:uid="{00000000-0005-0000-0000-00004E010000}"/>
    <cellStyle name="Neutral" xfId="36" xr:uid="{00000000-0005-0000-0000-00004F010000}"/>
    <cellStyle name="Normal" xfId="0" builtinId="0"/>
    <cellStyle name="Normal 2" xfId="343" xr:uid="{5DF1E0E0-E66C-A34B-849D-BD0AE5250349}"/>
    <cellStyle name="Normal 3" xfId="346" xr:uid="{B7B1BAA6-6E06-B14D-9A1E-E3AEFAAEBEC4}"/>
    <cellStyle name="Note" xfId="37" xr:uid="{00000000-0005-0000-0000-000051010000}"/>
    <cellStyle name="Output" xfId="38" xr:uid="{00000000-0005-0000-0000-000052010000}"/>
    <cellStyle name="Percent" xfId="274" builtinId="5"/>
    <cellStyle name="Percent 2" xfId="345" xr:uid="{C23B0190-0971-D24C-9BC6-3E40C01838EE}"/>
    <cellStyle name="Percent 3" xfId="347" xr:uid="{B3E162B5-772C-8B44-B649-0F0306FF7A27}"/>
    <cellStyle name="Title" xfId="39" xr:uid="{00000000-0005-0000-0000-000054010000}"/>
    <cellStyle name="Total" xfId="40" xr:uid="{00000000-0005-0000-0000-000055010000}"/>
    <cellStyle name="Warning Text" xfId="41" xr:uid="{00000000-0005-0000-0000-000056010000}"/>
  </cellStyles>
  <dxfs count="215">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theme="1"/>
      </font>
      <border>
        <vertical/>
        <horizontal/>
      </border>
    </dxf>
    <dxf>
      <font>
        <b/>
        <i val="0"/>
        <strike val="0"/>
        <color theme="1"/>
      </font>
      <border>
        <vertical/>
        <horizontal/>
      </border>
    </dxf>
    <dxf>
      <font>
        <b/>
        <i val="0"/>
        <strike val="0"/>
        <color theme="1"/>
      </font>
      <border>
        <vertical/>
        <horizontal/>
      </border>
    </dxf>
    <dxf>
      <font>
        <b/>
        <i val="0"/>
        <strike val="0"/>
        <color theme="1"/>
      </font>
      <border>
        <vertical/>
        <horizontal/>
      </border>
    </dxf>
    <dxf>
      <font>
        <b/>
        <i val="0"/>
        <strike val="0"/>
        <color theme="1"/>
      </font>
      <border>
        <vertical/>
        <horizontal/>
      </border>
    </dxf>
    <dxf>
      <font>
        <b/>
        <i val="0"/>
        <strike val="0"/>
        <color theme="1"/>
      </font>
      <border>
        <vertical/>
        <horizontal/>
      </border>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b/>
        <i val="0"/>
        <strike val="0"/>
        <color theme="1"/>
      </font>
      <border>
        <vertical/>
        <horizontal/>
      </border>
    </dxf>
    <dxf>
      <font>
        <b/>
        <i val="0"/>
        <strike val="0"/>
        <color theme="1"/>
      </font>
      <border>
        <vertical/>
        <horizontal/>
      </border>
    </dxf>
    <dxf>
      <font>
        <b/>
        <i val="0"/>
        <strike val="0"/>
        <color theme="1"/>
      </font>
      <border>
        <vertical/>
        <horizontal/>
      </border>
    </dxf>
    <dxf>
      <font>
        <b/>
        <i val="0"/>
        <strike val="0"/>
        <color theme="1"/>
      </font>
      <border>
        <vertical/>
        <horizontal/>
      </border>
    </dxf>
    <dxf>
      <font>
        <b/>
        <i val="0"/>
        <strike val="0"/>
        <color theme="1"/>
      </font>
      <border>
        <vertical/>
        <horizontal/>
      </border>
    </dxf>
    <dxf>
      <font>
        <b/>
        <i val="0"/>
        <strike val="0"/>
        <color theme="1"/>
      </font>
      <border>
        <vertical/>
        <horizontal/>
      </border>
    </dxf>
    <dxf>
      <font>
        <strike val="0"/>
        <color theme="5"/>
      </font>
    </dxf>
    <dxf>
      <font>
        <strike val="0"/>
        <color theme="7"/>
      </font>
    </dxf>
    <dxf>
      <font>
        <strike val="0"/>
        <color theme="3"/>
      </font>
    </dxf>
    <dxf>
      <font>
        <strike val="0"/>
        <color theme="9" tint="-0.24994659260841701"/>
      </font>
    </dxf>
    <dxf>
      <font>
        <strike val="0"/>
        <color theme="2" tint="-0.749961851863155"/>
      </font>
    </dxf>
    <dxf>
      <font>
        <strike val="0"/>
        <color rgb="FF538135"/>
      </font>
    </dxf>
    <dxf>
      <font>
        <strike val="0"/>
        <color theme="1"/>
      </font>
      <fill>
        <patternFill>
          <bgColor rgb="FFE2EFD9"/>
        </patternFill>
      </fill>
    </dxf>
    <dxf>
      <font>
        <strike val="0"/>
        <color theme="1"/>
      </font>
      <fill>
        <patternFill>
          <bgColor rgb="FFFFF2CC"/>
        </patternFill>
      </fill>
    </dxf>
    <dxf>
      <font>
        <strike val="0"/>
        <color theme="1"/>
      </font>
      <fill>
        <patternFill>
          <bgColor theme="9" tint="0.79998168889431442"/>
        </patternFill>
      </fill>
    </dxf>
    <dxf>
      <font>
        <strike val="0"/>
        <color theme="1"/>
      </font>
      <fill>
        <patternFill>
          <bgColor theme="4" tint="0.79998168889431442"/>
        </patternFill>
      </fill>
    </dxf>
    <dxf>
      <font>
        <strike val="0"/>
        <color theme="1"/>
      </font>
      <fill>
        <patternFill>
          <bgColor theme="7" tint="0.79998168889431442"/>
        </patternFill>
      </fill>
    </dxf>
    <dxf>
      <font>
        <strike val="0"/>
        <color theme="1"/>
      </font>
      <fill>
        <patternFill>
          <bgColor theme="5" tint="0.79998168889431442"/>
        </patternFill>
      </fill>
    </dxf>
    <dxf>
      <font>
        <b/>
        <i val="0"/>
        <strike val="0"/>
        <color theme="1"/>
      </font>
      <fill>
        <patternFill>
          <bgColor rgb="FFE2EFD9"/>
        </patternFill>
      </fill>
    </dxf>
    <dxf>
      <font>
        <b/>
        <i val="0"/>
        <strike val="0"/>
        <color theme="1"/>
      </font>
      <fill>
        <patternFill>
          <bgColor rgb="FFFFF2CC"/>
        </patternFill>
      </fill>
    </dxf>
    <dxf>
      <font>
        <b/>
        <i val="0"/>
        <strike val="0"/>
        <color theme="1"/>
      </font>
      <fill>
        <patternFill>
          <bgColor theme="9" tint="0.79998168889431442"/>
        </patternFill>
      </fill>
    </dxf>
    <dxf>
      <font>
        <b/>
        <i val="0"/>
        <strike val="0"/>
        <color theme="1"/>
      </font>
      <fill>
        <patternFill>
          <bgColor theme="4" tint="0.79998168889431442"/>
        </patternFill>
      </fill>
    </dxf>
    <dxf>
      <font>
        <b/>
        <i val="0"/>
        <strike val="0"/>
        <color theme="1"/>
      </font>
      <fill>
        <patternFill>
          <bgColor theme="7" tint="0.79998168889431442"/>
        </patternFill>
      </fill>
    </dxf>
    <dxf>
      <font>
        <b/>
        <i val="0"/>
        <strike val="0"/>
        <color theme="1"/>
      </font>
      <fill>
        <patternFill>
          <bgColor theme="5" tint="0.79998168889431442"/>
        </patternFill>
      </fill>
    </dxf>
    <dxf>
      <font>
        <strike val="0"/>
        <color theme="1"/>
      </font>
      <fill>
        <patternFill>
          <bgColor rgb="FFE2EFD9"/>
        </patternFill>
      </fill>
    </dxf>
    <dxf>
      <font>
        <strike val="0"/>
        <color theme="1"/>
      </font>
      <fill>
        <patternFill>
          <bgColor rgb="FFFFF2CC"/>
        </patternFill>
      </fill>
    </dxf>
    <dxf>
      <font>
        <strike val="0"/>
        <color theme="1"/>
      </font>
      <fill>
        <patternFill>
          <bgColor theme="9" tint="0.79998168889431442"/>
        </patternFill>
      </fill>
    </dxf>
    <dxf>
      <font>
        <strike val="0"/>
        <color theme="1"/>
      </font>
      <fill>
        <patternFill>
          <bgColor theme="4" tint="0.79998168889431442"/>
        </patternFill>
      </fill>
    </dxf>
    <dxf>
      <font>
        <strike val="0"/>
        <color theme="1"/>
      </font>
      <fill>
        <patternFill>
          <bgColor theme="7" tint="0.79998168889431442"/>
        </patternFill>
      </fill>
    </dxf>
    <dxf>
      <font>
        <strike val="0"/>
        <color theme="1"/>
      </font>
      <fill>
        <patternFill>
          <bgColor theme="5" tint="0.79998168889431442"/>
        </patternFill>
      </fill>
    </dxf>
    <dxf>
      <font>
        <b/>
        <i val="0"/>
        <strike val="0"/>
        <color theme="0"/>
      </font>
      <fill>
        <patternFill>
          <bgColor rgb="FF538135"/>
        </patternFill>
      </fill>
    </dxf>
    <dxf>
      <font>
        <b/>
        <i val="0"/>
        <strike val="0"/>
        <color theme="0"/>
      </font>
      <fill>
        <patternFill>
          <bgColor rgb="FFBF9000"/>
        </patternFill>
      </fill>
    </dxf>
    <dxf>
      <font>
        <b/>
        <i val="0"/>
        <strike val="0"/>
        <color theme="0"/>
      </font>
      <fill>
        <patternFill>
          <bgColor theme="9" tint="-0.24994659260841701"/>
        </patternFill>
      </fill>
    </dxf>
    <dxf>
      <font>
        <b/>
        <i val="0"/>
        <strike val="0"/>
        <color theme="0"/>
      </font>
      <fill>
        <patternFill>
          <bgColor theme="3"/>
        </patternFill>
      </fill>
    </dxf>
    <dxf>
      <font>
        <b/>
        <i val="0"/>
        <strike val="0"/>
        <color theme="0"/>
      </font>
      <fill>
        <patternFill>
          <bgColor theme="7"/>
        </patternFill>
      </fill>
    </dxf>
    <dxf>
      <font>
        <b/>
        <i val="0"/>
        <strike val="0"/>
        <color theme="0"/>
      </font>
      <fill>
        <patternFill>
          <bgColor theme="5"/>
        </patternFill>
      </fill>
    </dxf>
    <dxf>
      <font>
        <strike val="0"/>
        <color rgb="FF365624"/>
      </font>
      <fill>
        <patternFill>
          <bgColor rgb="FFE2EFD9"/>
        </patternFill>
      </fill>
    </dxf>
    <dxf>
      <font>
        <strike val="0"/>
        <color theme="2" tint="-0.749961851863155"/>
      </font>
      <fill>
        <patternFill>
          <bgColor rgb="FFFFF2CC"/>
        </patternFill>
      </fill>
    </dxf>
    <dxf>
      <font>
        <strike val="0"/>
        <color theme="9" tint="-0.24994659260841701"/>
      </font>
      <fill>
        <patternFill>
          <bgColor theme="9" tint="0.79998168889431442"/>
        </patternFill>
      </fill>
    </dxf>
    <dxf>
      <font>
        <strike val="0"/>
        <color theme="3"/>
      </font>
      <fill>
        <patternFill>
          <bgColor theme="4"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C83232"/>
        </patternFill>
      </fill>
    </dxf>
    <dxf>
      <font>
        <color theme="0"/>
      </font>
      <fill>
        <patternFill>
          <bgColor rgb="FF9696C8"/>
        </patternFill>
      </fill>
    </dxf>
    <dxf>
      <font>
        <color theme="0"/>
      </font>
      <fill>
        <patternFill>
          <bgColor rgb="FF326496"/>
        </patternFill>
      </fill>
    </dxf>
    <dxf>
      <font>
        <color theme="0"/>
      </font>
      <fill>
        <patternFill>
          <bgColor rgb="FFFA9600"/>
        </patternFill>
      </fill>
    </dxf>
    <dxf>
      <font>
        <color auto="1"/>
      </font>
      <fill>
        <patternFill>
          <bgColor rgb="FFFAFA64"/>
        </patternFill>
      </fill>
    </dxf>
    <dxf>
      <font>
        <color theme="0"/>
      </font>
      <fill>
        <patternFill>
          <bgColor rgb="FF649664"/>
        </patternFill>
      </fill>
    </dxf>
    <dxf>
      <font>
        <color theme="0"/>
      </font>
      <fill>
        <patternFill>
          <bgColor rgb="FFC83232"/>
        </patternFill>
      </fill>
    </dxf>
    <dxf>
      <font>
        <color theme="0"/>
      </font>
      <fill>
        <patternFill>
          <bgColor rgb="FF9696C8"/>
        </patternFill>
      </fill>
    </dxf>
    <dxf>
      <font>
        <color theme="0"/>
      </font>
      <fill>
        <patternFill>
          <bgColor rgb="FF326496"/>
        </patternFill>
      </fill>
    </dxf>
    <dxf>
      <font>
        <color theme="0"/>
      </font>
      <fill>
        <patternFill>
          <bgColor rgb="FFFA9600"/>
        </patternFill>
      </fill>
    </dxf>
    <dxf>
      <font>
        <color auto="1"/>
      </font>
      <fill>
        <patternFill>
          <bgColor rgb="FFFAFA64"/>
        </patternFill>
      </fill>
    </dxf>
    <dxf>
      <font>
        <color theme="0"/>
      </font>
      <fill>
        <patternFill>
          <bgColor rgb="FF649664"/>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theme="1"/>
      </font>
      <border>
        <vertical/>
        <horizontal/>
      </border>
    </dxf>
    <dxf>
      <font>
        <b/>
        <i val="0"/>
        <strike val="0"/>
        <color theme="1"/>
      </font>
      <border>
        <vertical/>
        <horizontal/>
      </border>
    </dxf>
    <dxf>
      <font>
        <b/>
        <i val="0"/>
        <strike val="0"/>
        <color theme="1"/>
      </font>
      <border>
        <vertical/>
        <horizontal/>
      </border>
    </dxf>
    <dxf>
      <font>
        <b/>
        <i val="0"/>
        <strike val="0"/>
        <color theme="1"/>
      </font>
      <border>
        <vertical/>
        <horizontal/>
      </border>
    </dxf>
    <dxf>
      <font>
        <b/>
        <i val="0"/>
        <strike val="0"/>
        <color theme="1"/>
      </font>
      <border>
        <vertical/>
        <horizontal/>
      </border>
    </dxf>
    <dxf>
      <font>
        <b/>
        <i val="0"/>
        <strike val="0"/>
        <color theme="1"/>
      </font>
      <border>
        <vertical/>
        <horizontal/>
      </border>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b/>
        <i val="0"/>
        <strike val="0"/>
        <color theme="1"/>
      </font>
      <border>
        <vertical/>
        <horizontal/>
      </border>
    </dxf>
    <dxf>
      <font>
        <b/>
        <i val="0"/>
        <strike val="0"/>
        <color theme="1"/>
      </font>
      <border>
        <vertical/>
        <horizontal/>
      </border>
    </dxf>
    <dxf>
      <font>
        <b/>
        <i val="0"/>
        <strike val="0"/>
        <color theme="1"/>
      </font>
      <border>
        <vertical/>
        <horizontal/>
      </border>
    </dxf>
    <dxf>
      <font>
        <b/>
        <i val="0"/>
        <strike val="0"/>
        <color theme="1"/>
      </font>
      <border>
        <vertical/>
        <horizontal/>
      </border>
    </dxf>
    <dxf>
      <font>
        <b/>
        <i val="0"/>
        <strike val="0"/>
        <color theme="1"/>
      </font>
      <border>
        <vertical/>
        <horizontal/>
      </border>
    </dxf>
    <dxf>
      <font>
        <b/>
        <i val="0"/>
        <strike val="0"/>
        <color theme="1"/>
      </font>
      <border>
        <vertical/>
        <horizontal/>
      </border>
    </dxf>
    <dxf>
      <font>
        <strike val="0"/>
        <color theme="5"/>
      </font>
    </dxf>
    <dxf>
      <font>
        <strike val="0"/>
        <color theme="7"/>
      </font>
    </dxf>
    <dxf>
      <font>
        <strike val="0"/>
        <color theme="3"/>
      </font>
    </dxf>
    <dxf>
      <font>
        <strike val="0"/>
        <color theme="9" tint="-0.24994659260841701"/>
      </font>
    </dxf>
    <dxf>
      <font>
        <strike val="0"/>
        <color theme="2" tint="-0.749961851863155"/>
      </font>
    </dxf>
    <dxf>
      <font>
        <strike val="0"/>
        <color rgb="FF538135"/>
      </font>
    </dxf>
    <dxf>
      <font>
        <strike val="0"/>
        <color theme="1"/>
      </font>
      <fill>
        <patternFill>
          <bgColor rgb="FFE2EFD9"/>
        </patternFill>
      </fill>
    </dxf>
    <dxf>
      <font>
        <strike val="0"/>
        <color theme="1"/>
      </font>
      <fill>
        <patternFill>
          <bgColor rgb="FFFFF2CC"/>
        </patternFill>
      </fill>
    </dxf>
    <dxf>
      <font>
        <strike val="0"/>
        <color theme="1"/>
      </font>
      <fill>
        <patternFill>
          <bgColor theme="9" tint="0.79998168889431442"/>
        </patternFill>
      </fill>
    </dxf>
    <dxf>
      <font>
        <strike val="0"/>
        <color theme="1"/>
      </font>
      <fill>
        <patternFill>
          <bgColor theme="4" tint="0.79998168889431442"/>
        </patternFill>
      </fill>
    </dxf>
    <dxf>
      <font>
        <strike val="0"/>
        <color theme="1"/>
      </font>
      <fill>
        <patternFill>
          <bgColor theme="7" tint="0.79998168889431442"/>
        </patternFill>
      </fill>
    </dxf>
    <dxf>
      <font>
        <strike val="0"/>
        <color theme="1"/>
      </font>
      <fill>
        <patternFill>
          <bgColor theme="5" tint="0.79998168889431442"/>
        </patternFill>
      </fill>
    </dxf>
    <dxf>
      <font>
        <b/>
        <i val="0"/>
        <strike val="0"/>
        <color theme="1"/>
      </font>
      <fill>
        <patternFill>
          <bgColor rgb="FFE2EFD9"/>
        </patternFill>
      </fill>
    </dxf>
    <dxf>
      <font>
        <b/>
        <i val="0"/>
        <strike val="0"/>
        <color theme="1"/>
      </font>
      <fill>
        <patternFill>
          <bgColor rgb="FFFFF2CC"/>
        </patternFill>
      </fill>
    </dxf>
    <dxf>
      <font>
        <b/>
        <i val="0"/>
        <strike val="0"/>
        <color theme="1"/>
      </font>
      <fill>
        <patternFill>
          <bgColor theme="9" tint="0.79998168889431442"/>
        </patternFill>
      </fill>
    </dxf>
    <dxf>
      <font>
        <b/>
        <i val="0"/>
        <strike val="0"/>
        <color theme="1"/>
      </font>
      <fill>
        <patternFill>
          <bgColor theme="4" tint="0.79998168889431442"/>
        </patternFill>
      </fill>
    </dxf>
    <dxf>
      <font>
        <b/>
        <i val="0"/>
        <strike val="0"/>
        <color theme="1"/>
      </font>
      <fill>
        <patternFill>
          <bgColor theme="7" tint="0.79998168889431442"/>
        </patternFill>
      </fill>
    </dxf>
    <dxf>
      <font>
        <b/>
        <i val="0"/>
        <strike val="0"/>
        <color theme="1"/>
      </font>
      <fill>
        <patternFill>
          <bgColor theme="5" tint="0.79998168889431442"/>
        </patternFill>
      </fill>
    </dxf>
    <dxf>
      <font>
        <strike val="0"/>
        <color theme="1"/>
      </font>
      <fill>
        <patternFill>
          <bgColor rgb="FFE2EFD9"/>
        </patternFill>
      </fill>
    </dxf>
    <dxf>
      <font>
        <strike val="0"/>
        <color theme="1"/>
      </font>
      <fill>
        <patternFill>
          <bgColor rgb="FFFFF2CC"/>
        </patternFill>
      </fill>
    </dxf>
    <dxf>
      <font>
        <strike val="0"/>
        <color theme="1"/>
      </font>
      <fill>
        <patternFill>
          <bgColor theme="9" tint="0.79998168889431442"/>
        </patternFill>
      </fill>
    </dxf>
    <dxf>
      <font>
        <strike val="0"/>
        <color theme="1"/>
      </font>
      <fill>
        <patternFill>
          <bgColor theme="4" tint="0.79998168889431442"/>
        </patternFill>
      </fill>
    </dxf>
    <dxf>
      <font>
        <strike val="0"/>
        <color theme="1"/>
      </font>
      <fill>
        <patternFill>
          <bgColor theme="7" tint="0.79998168889431442"/>
        </patternFill>
      </fill>
    </dxf>
    <dxf>
      <font>
        <strike val="0"/>
        <color theme="1"/>
      </font>
      <fill>
        <patternFill>
          <bgColor theme="5" tint="0.79998168889431442"/>
        </patternFill>
      </fill>
    </dxf>
    <dxf>
      <font>
        <b/>
        <i val="0"/>
        <strike val="0"/>
        <color theme="0"/>
      </font>
      <fill>
        <patternFill>
          <bgColor rgb="FF538135"/>
        </patternFill>
      </fill>
    </dxf>
    <dxf>
      <font>
        <b/>
        <i val="0"/>
        <strike val="0"/>
        <color theme="0"/>
      </font>
      <fill>
        <patternFill>
          <bgColor rgb="FFBF9000"/>
        </patternFill>
      </fill>
    </dxf>
    <dxf>
      <font>
        <b/>
        <i val="0"/>
        <strike val="0"/>
        <color theme="0"/>
      </font>
      <fill>
        <patternFill>
          <bgColor theme="9" tint="-0.24994659260841701"/>
        </patternFill>
      </fill>
    </dxf>
    <dxf>
      <font>
        <b/>
        <i val="0"/>
        <strike val="0"/>
        <color theme="0"/>
      </font>
      <fill>
        <patternFill>
          <bgColor theme="3"/>
        </patternFill>
      </fill>
    </dxf>
    <dxf>
      <font>
        <b/>
        <i val="0"/>
        <strike val="0"/>
        <color theme="0"/>
      </font>
      <fill>
        <patternFill>
          <bgColor theme="7"/>
        </patternFill>
      </fill>
    </dxf>
    <dxf>
      <font>
        <b/>
        <i val="0"/>
        <strike val="0"/>
        <color theme="0"/>
      </font>
      <fill>
        <patternFill>
          <bgColor theme="5"/>
        </patternFill>
      </fill>
    </dxf>
    <dxf>
      <font>
        <strike val="0"/>
        <color rgb="FF365624"/>
      </font>
      <fill>
        <patternFill>
          <bgColor rgb="FFE2EFD9"/>
        </patternFill>
      </fill>
    </dxf>
    <dxf>
      <font>
        <strike val="0"/>
        <color theme="2" tint="-0.749961851863155"/>
      </font>
      <fill>
        <patternFill>
          <bgColor rgb="FFFFF2CC"/>
        </patternFill>
      </fill>
    </dxf>
    <dxf>
      <font>
        <strike val="0"/>
        <color theme="9" tint="-0.24994659260841701"/>
      </font>
      <fill>
        <patternFill>
          <bgColor theme="9" tint="0.79998168889431442"/>
        </patternFill>
      </fill>
    </dxf>
    <dxf>
      <font>
        <strike val="0"/>
        <color theme="3"/>
      </font>
      <fill>
        <patternFill>
          <bgColor theme="4" tint="0.79998168889431442"/>
        </patternFill>
      </fill>
    </dxf>
    <dxf>
      <font>
        <strike val="0"/>
        <color theme="7"/>
      </font>
      <fill>
        <patternFill>
          <bgColor theme="7" tint="0.79998168889431442"/>
        </patternFill>
      </fill>
    </dxf>
    <dxf>
      <font>
        <strike val="0"/>
        <color theme="5"/>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b/>
        <i val="0"/>
        <strike val="0"/>
        <color theme="5"/>
      </font>
    </dxf>
    <dxf>
      <font>
        <b/>
        <i val="0"/>
        <strike val="0"/>
        <color theme="7"/>
      </font>
    </dxf>
    <dxf>
      <font>
        <b/>
        <i val="0"/>
        <strike val="0"/>
        <color theme="3"/>
      </font>
    </dxf>
    <dxf>
      <font>
        <b/>
        <i val="0"/>
        <strike val="0"/>
        <color theme="9" tint="-0.24994659260841701"/>
      </font>
    </dxf>
    <dxf>
      <font>
        <b/>
        <i val="0"/>
        <strike val="0"/>
        <color rgb="FF7F6000"/>
      </font>
    </dxf>
    <dxf>
      <font>
        <b/>
        <i val="0"/>
        <strike val="0"/>
        <color rgb="FF538134"/>
      </font>
    </dxf>
    <dxf>
      <font>
        <strike val="0"/>
        <color theme="5"/>
      </font>
    </dxf>
    <dxf>
      <font>
        <strike val="0"/>
        <color theme="7"/>
      </font>
    </dxf>
    <dxf>
      <font>
        <strike val="0"/>
        <color theme="3"/>
      </font>
    </dxf>
    <dxf>
      <font>
        <strike val="0"/>
        <color theme="9" tint="-0.24994659260841701"/>
      </font>
    </dxf>
    <dxf>
      <font>
        <strike val="0"/>
        <color rgb="FF7F6000"/>
      </font>
    </dxf>
    <dxf>
      <font>
        <strike val="0"/>
        <color rgb="FF538134"/>
      </font>
    </dxf>
    <dxf>
      <font>
        <b/>
        <i val="0"/>
        <strike val="0"/>
        <color theme="0"/>
      </font>
      <fill>
        <patternFill>
          <bgColor rgb="FF538134"/>
        </patternFill>
      </fill>
    </dxf>
    <dxf>
      <font>
        <b/>
        <i val="0"/>
        <strike val="0"/>
        <color theme="0"/>
      </font>
      <fill>
        <patternFill>
          <bgColor rgb="FFBE9000"/>
        </patternFill>
      </fill>
    </dxf>
    <dxf>
      <font>
        <b/>
        <i val="0"/>
        <strike val="0"/>
        <color theme="0"/>
      </font>
      <fill>
        <patternFill>
          <bgColor theme="9" tint="-0.24994659260841701"/>
        </patternFill>
      </fill>
    </dxf>
    <dxf>
      <font>
        <b/>
        <i val="0"/>
        <strike val="0"/>
        <color theme="0"/>
      </font>
      <fill>
        <patternFill>
          <bgColor theme="3"/>
        </patternFill>
      </fill>
    </dxf>
    <dxf>
      <font>
        <b/>
        <i val="0"/>
        <strike val="0"/>
        <color theme="0"/>
      </font>
      <fill>
        <patternFill>
          <bgColor theme="7"/>
        </patternFill>
      </fill>
    </dxf>
    <dxf>
      <font>
        <b/>
        <i val="0"/>
        <strike val="0"/>
        <color theme="0"/>
      </font>
      <fill>
        <patternFill>
          <bgColor theme="5"/>
        </patternFill>
      </fill>
    </dxf>
    <dxf>
      <font>
        <b/>
        <i val="0"/>
        <strike val="0"/>
        <color rgb="FF538134"/>
      </font>
      <fill>
        <patternFill>
          <bgColor rgb="FFE2EFDA"/>
        </patternFill>
      </fill>
    </dxf>
    <dxf>
      <font>
        <b/>
        <i val="0"/>
        <strike val="0"/>
        <color rgb="FF7F6000"/>
      </font>
      <fill>
        <patternFill>
          <bgColor rgb="FFFFF3CC"/>
        </patternFill>
      </fill>
    </dxf>
    <dxf>
      <font>
        <b/>
        <i val="0"/>
        <strike val="0"/>
        <color theme="9" tint="-0.24994659260841701"/>
      </font>
      <fill>
        <patternFill>
          <bgColor theme="9" tint="0.79998168889431442"/>
        </patternFill>
      </fill>
    </dxf>
    <dxf>
      <font>
        <b/>
        <i val="0"/>
        <strike val="0"/>
        <color theme="3"/>
      </font>
      <fill>
        <patternFill>
          <bgColor theme="4" tint="0.79998168889431442"/>
        </patternFill>
      </fill>
    </dxf>
    <dxf>
      <font>
        <b/>
        <i val="0"/>
        <strike val="0"/>
        <color theme="7"/>
      </font>
      <fill>
        <patternFill>
          <bgColor theme="7" tint="0.79998168889431442"/>
        </patternFill>
      </fill>
    </dxf>
    <dxf>
      <font>
        <b/>
        <i val="0"/>
        <strike val="0"/>
        <color theme="5"/>
      </font>
      <fill>
        <patternFill>
          <bgColor theme="5" tint="0.79998168889431442"/>
        </patternFill>
      </fill>
    </dxf>
    <dxf>
      <font>
        <b/>
        <i val="0"/>
        <strike val="0"/>
        <color theme="0"/>
      </font>
      <fill>
        <patternFill>
          <bgColor rgb="FF538135"/>
        </patternFill>
      </fill>
    </dxf>
    <dxf>
      <font>
        <b/>
        <i val="0"/>
        <strike val="0"/>
        <color theme="0"/>
      </font>
      <fill>
        <patternFill>
          <bgColor rgb="FFBE9000"/>
        </patternFill>
      </fill>
    </dxf>
    <dxf>
      <font>
        <b/>
        <i val="0"/>
        <strike val="0"/>
        <color theme="0"/>
      </font>
      <fill>
        <patternFill>
          <bgColor theme="9" tint="-0.24994659260841701"/>
        </patternFill>
      </fill>
    </dxf>
    <dxf>
      <font>
        <b/>
        <i val="0"/>
        <strike val="0"/>
        <color theme="0"/>
      </font>
      <fill>
        <patternFill>
          <bgColor theme="3"/>
        </patternFill>
      </fill>
    </dxf>
    <dxf>
      <font>
        <b/>
        <i val="0"/>
        <strike val="0"/>
        <color theme="0"/>
      </font>
      <fill>
        <patternFill>
          <bgColor theme="7"/>
        </patternFill>
      </fill>
    </dxf>
    <dxf>
      <font>
        <b/>
        <i val="0"/>
        <strike val="0"/>
        <color theme="0"/>
      </font>
      <fill>
        <patternFill>
          <bgColor theme="5"/>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600"/>
      <rgbColor rgb="00000080"/>
      <rgbColor rgb="00996633"/>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9999"/>
      <rgbColor rgb="00CC99FF"/>
      <rgbColor rgb="00EAEAEA"/>
      <rgbColor rgb="003366FF"/>
      <rgbColor rgb="0033CCCC"/>
      <rgbColor rgb="00CC9900"/>
      <rgbColor rgb="00DDDDDD"/>
      <rgbColor rgb="00C0C0C0"/>
      <rgbColor rgb="00B2B2B2"/>
      <rgbColor rgb="00666699"/>
      <rgbColor rgb="00969696"/>
      <rgbColor rgb="003333CC"/>
      <rgbColor rgb="00339933"/>
      <rgbColor rgb="00003300"/>
      <rgbColor rgb="00663300"/>
      <rgbColor rgb="00969696"/>
      <rgbColor rgb="00993366"/>
      <rgbColor rgb="00333399"/>
      <rgbColor rgb="00424242"/>
    </indexedColors>
    <mruColors>
      <color rgb="FFFFD761"/>
      <color rgb="FFF8BA00"/>
      <color rgb="FFBA8B00"/>
      <color rgb="FF7C6992"/>
      <color rgb="FF961C37"/>
      <color rgb="FFBE9000"/>
      <color rgb="FF7F6000"/>
      <color rgb="FF538134"/>
      <color rgb="FFFFC000"/>
      <color rgb="FFFFF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person displayName="Thomas Bittner" id="{7223F2EA-A35D-FE46-AC16-0681ECF5150B}" userId="S::tbittner@uwsa.edu::9fa59c11-4757-457a-a213-f7b24a97bb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8" dT="2022-12-31T21:24:44.20" personId="{7223F2EA-A35D-FE46-AC16-0681ECF5150B}" id="{8FD50AA7-6741-874E-8573-AF62B2BC95C5}">
    <text xml:space="preserve">Please use the current PBW template to find an updated escalation factor based on Base Date, Bid Date, and more current ENR Index values published after this file's PBW Revision Date. This allows a quick one cell and one value edit to update a previous budget estimate without having to recreate the entire PBW again, assuming all that has changed is inflation. </text>
  </threadedComment>
</ThreadedComments>
</file>

<file path=xl/threadedComments/threadedComment2.xml><?xml version="1.0" encoding="utf-8"?>
<ThreadedComments xmlns="http://schemas.microsoft.com/office/spreadsheetml/2018/threadedcomments" xmlns:x="http://schemas.openxmlformats.org/spreadsheetml/2006/main">
  <threadedComment ref="H1" dT="2022-12-31T21:26:24.86" personId="{7223F2EA-A35D-FE46-AC16-0681ECF5150B}" id="{31C84E90-F4CD-294C-821E-47C5A2CC8CCE}">
    <text>This worksheet will auto-complete based on Project Budget Worksheet (PBW).</text>
  </threadedComment>
</ThreadedComments>
</file>

<file path=xl/threadedComments/threadedComment3.xml><?xml version="1.0" encoding="utf-8"?>
<ThreadedComments xmlns="http://schemas.microsoft.com/office/spreadsheetml/2018/threadedcomments" xmlns:x="http://schemas.openxmlformats.org/spreadsheetml/2006/main">
  <threadedComment ref="H3" dT="2022-12-31T21:13:53.22" personId="{7223F2EA-A35D-FE46-AC16-0681ECF5150B}" id="{E8F6C0EA-70AF-AC4D-81F2-ED8AFAE733FA}">
    <text>The contents in this cell should be hard coded to the date the PBW is finalized. Simply overwrite the formula with the actual date entry (i.e. 04/01/2022).</text>
  </threadedComment>
  <threadedComment ref="B4" dT="2022-12-31T21:15:03.65" personId="{7223F2EA-A35D-FE46-AC16-0681ECF5150B}" id="{49EE9863-3921-5042-AACF-7FC75CF57331}">
    <text>Intended to contain the UW Institution Name (i.e. UNIVERSITY OF WISCONSIN-INSTITUTION NAME).</text>
  </threadedComment>
  <threadedComment ref="B5" dT="2022-12-31T21:14:30.14" personId="{7223F2EA-A35D-FE46-AC16-0681ECF5150B}" id="{57E0D122-ECE5-C842-9EF1-6A2A6BE88782}">
    <text>AA = All Agency
IS = Instructional Space
MFR = Minor Facilities Renewal
MP = Major Project
P&amp;D = Planning &amp; Design
SP = Small Project
X = Unspecified</text>
  </threadedComment>
  <threadedComment ref="B6" dT="2022-12-31T21:15:25.11" personId="{7223F2EA-A35D-FE46-AC16-0681ECF5150B}" id="{383A6CEB-85CA-6340-A4C5-26D9EEE32A28}">
    <text>Intended to contain the Project Name, Project No., Alternate or Option No., and date reference of publication.</text>
  </threadedComment>
  <threadedComment ref="H9" dT="2022-12-31T21:15:54.50" personId="{7223F2EA-A35D-FE46-AC16-0681ECF5150B}" id="{26E290B8-C5B6-E54A-8C74-9D24B8E67D2F}">
    <text>Base Date should be on or prior to revision date of Project Budget Worksheet template to maximize the actual inflation included in the budget estimate vs. estimated inflation.
Cell has conditional formatting to highlight RED if Base Date &gt; PBW Revision Date or if Base Date is more than 4 years old, highlight YELLOW if the Base Date is between 2-4 years old.</text>
  </threadedComment>
  <threadedComment ref="H12" dT="2022-12-31T21:16:17.79" personId="{7223F2EA-A35D-FE46-AC16-0681ECF5150B}" id="{4E56AEB0-CB6C-674F-ABB1-195AA4BAC456}">
    <text>This value will default to the Escalation (Calculated) value above based on the Base Date and Bid Date values embedded in the ENR Index worksheet included in this workbook template. 
This value can be manually overwritten using the ENR Index values from a future Project Budget Worksheet edition to correct inflation value calculations and estimates after the initial Project Budget Worksheet creation and submittal.</text>
  </threadedComment>
  <threadedComment ref="H14" dT="2022-12-31T21:16:47.22" personId="{7223F2EA-A35D-FE46-AC16-0681ECF5150B}" id="{08BE5BDF-26E1-A345-B03E-46AABCDC96FB}">
    <text>Occupancy Date will autocalculate based on project size and DFD guidance on project duration based on project size.</text>
  </threadedComment>
  <threadedComment ref="F41" dT="2022-12-31T21:17:13.12" personId="{7223F2EA-A35D-FE46-AC16-0681ECF5150B}" id="{447C04C3-3E99-C542-A0F4-983FBCDAA2A6}">
    <text>DFD Standard Trade Unit Costs: Automatically updated based on July 2011 ENR Value and the PBW Base Index Value defined above.</text>
  </threadedComment>
  <threadedComment ref="G69" dT="2022-12-31T21:17:56.37" personId="{7223F2EA-A35D-FE46-AC16-0681ECF5150B}" id="{589A3024-3C7A-4843-938A-F1FDBCC2FD91}">
    <text>DFD Standard Demolition Cost: Automatically updated based on July 2018 ENR Value and the PBW Base Index Value defined above.</text>
  </threadedComment>
  <threadedComment ref="C134" dT="2022-12-31T21:18:23.00" personId="{7223F2EA-A35D-FE46-AC16-0681ECF5150B}" id="{9B2774A2-6D0F-B64F-BAFE-BFA6D62E54AE}">
    <text>Default to 10%, but may range above or below that value dependent on size, complexity, and development status of project. Use Designer's value from feasibility study when possible. Value should be 0% if Design Report is complete.</text>
  </threadedComment>
  <threadedComment ref="C135" dT="2022-12-31T21:18:42.14" personId="{7223F2EA-A35D-FE46-AC16-0681ECF5150B}" id="{693A8C3A-C066-DB46-83E4-8B70525F557E}">
    <text xml:space="preserve">Indirect project costs, project specific costs that do not result in an asset. Use Desiger's value from Pre-Design Report when necessary (i.e. when pre-design values that are used in PBW do not already include General conditions factors). </text>
  </threadedComment>
  <threadedComment ref="C136" dT="2022-12-31T21:19:01.67" personId="{7223F2EA-A35D-FE46-AC16-0681ECF5150B}" id="{110EEB31-87B5-8E4E-9140-4CEEFC8D74E8}">
    <text xml:space="preserve">Indirect non-project costs. Typically ranges from 5% to 15%. Use Desiger's value from Pre-Design Report when necessary (i.e. when pre-design values that are used in PBW do not already include OH&amp;P factors). </text>
  </threadedComment>
  <threadedComment ref="C142" dT="2022-12-31T21:19:29.01" personId="{7223F2EA-A35D-FE46-AC16-0681ECF5150B}" id="{6725D6D0-640D-BE48-98ED-0F32821E2CCF}">
    <text>New Construction Design Fee Guidance
                      Project Complexity
Construction Cost     HIGH |  AVG  |  LOW
≦ $100K:            (14.2% | 13.6% | 12.8%)
$100K - $500K:      (14.1% | 13.3% | 12.3%)
$500K - $1M:        (11.6% | 10.9% |  9.9%)
$1M - $2.5M:        (10.6% |  9.8% |  8.8%)
$2.5M - $5M:        ( 9.2% |  8.3% |  7.3%)
$5M - $30M:         ( 8.3% |  7.4% |  6.3%)
$30M - $50M:        ( 7.0% |  6.2% |  5.3%)
$50M+:              ( 6.1% |  5.5% |  4.7%)
Renovation &amp; Remodeling Design Fee Guidance
                      Project Complexity
Construction Cost     HIGH |  AVG  |  LOW
≦ $100K:            (16.0% | 14.0% | 13.0%)
$100K - $500K:      (14.3% | 13.5% | 12.5%)
$500K - $1M:        (12.0% | 11.1% | 10.1%)
$1M - $2.5M:        (10.9% |  9.9% |  8.9%)
$2.5M - $5M:        ( 9.4% |  8.5% |  7.4%)
$5M - $30M:         ( 8.4% |  7.5% |  6.4%)
$30M - $50M:        ( 7.1% |  6.3% |  5.4%)
$50M+:              ( 6.2% |  5.6% |  4.8%)
If programming is not done by the agency, or if extensive program verification is required, an additional 0.1% to 1.5% should be added to the fee guidance shown above. 
High Complexity: Most complex projects both in design and detail include buildings of specialized architectural character, memorial, historic or monumental nature requiring special study or analysis and/or involve complex programs, mechanical systems, code requirements, etc. Project types include auditorium/theaters, communication buildings, extended care facilities, complex engineering projects, laboratories, historical restoration, and museums.
Average Complexity: Project types include readiness centers, building systems, maintenance shops, firing ranges, recreational facilities, teaching laboratories, medical offices &amp; clinics, laundry facilities, office buildings, site utilities, university centers, residence halls, and child day care facilities.
Low Complexity: Projects are simple or repetitive construction without any great degree of special finish or design effort. May include projects where equipment purchase comprises a large portion of the construction budget. Project types include asbestos removal, building envelope repairs, roofing, life safety compliance, demolition, minimum security correctional centers, park shelters, warehouse, radio/television towers, service garage, and site work.</text>
  </threadedComment>
  <threadedComment ref="E143" dT="2022-12-31T21:20:29.84" personId="{7223F2EA-A35D-FE46-AC16-0681ECF5150B}" id="{7CA00D11-5D5E-204C-A9F4-DE676796A8A6}">
    <text>Data Entry in this cell will override the calculated Fee in the Row above based on the % of Construction Cost. This cell can be used for Fees only type projects (i.e. Feasibility Studies, Master Plans, etc.) or when the user needs to match a specific $ amount that is easier to enter than to calculate.</text>
  </threadedComment>
  <threadedComment ref="C144" dT="2022-12-31T21:20:08.20" personId="{7223F2EA-A35D-FE46-AC16-0681ECF5150B}" id="{96A0398A-3DC9-6C4D-86A1-426701C19D4D}">
    <text>Normally 4% of A/E fee for Major Projects. Includes survey, geotechnical, and plan review.</text>
  </threadedComment>
  <threadedComment ref="C147" dT="2022-12-31T21:20:53.72" personId="{7223F2EA-A35D-FE46-AC16-0681ECF5150B}" id="{788E6D3A-38C8-0746-8834-79400DB08298}">
    <text>Ranges from 1/2% to 1-1/4% for Major Projects.</text>
  </threadedComment>
  <threadedComment ref="C149" dT="2022-12-31T21:21:13.51" personId="{7223F2EA-A35D-FE46-AC16-0681ECF5150B}" id="{F6B5AAB9-097B-D849-BEFE-7ECECD9D006E}">
    <text>Level 1 = 0.00% - 0.25%
Level 2 = 0.15% - 1.00%</text>
  </threadedComment>
  <threadedComment ref="E150" dT="2022-12-31T21:21:36.74" personId="{7223F2EA-A35D-FE46-AC16-0681ECF5150B}" id="{037F2A30-7A2B-AC42-B82E-6C246E46B0ED}">
    <text>Type  I: $50,000 - $100,000 Type II: $30,000 - $50,000</text>
  </threadedComment>
  <threadedComment ref="C157" dT="2022-12-31T21:21:58.10" personId="{7223F2EA-A35D-FE46-AC16-0681ECF5150B}" id="{2ADE75A9-B0EC-824C-AA1A-03C079A1F1D0}">
    <text>This Design Fee is a percent of the OFCI Furnishings, Fixtures, &amp; Equipment Cost Estimate. Percentages will vary based on complexity of project, FF&amp;E items, and services desired.
≤4% of FF&amp;E Budget: Selection and specification only.
≤10% of FF&amp;E Budget: Selection, specification, layout/design, and procurement assistance. 
REQUIRES DATA ENTRY IN ONE OR MORE OF THE FIVE ROWS IMMEDIATELY BELOW THIS ROW.</text>
  </threadedComment>
  <threadedComment ref="C165" dT="2022-12-31T21:22:18.75" personId="{7223F2EA-A35D-FE46-AC16-0681ECF5150B}" id="{408F65E1-B0E8-174C-9F4B-9492376CF337}">
    <text>Percent of Total Construction Cost. 15% default for all projects.</text>
  </threadedComment>
  <threadedComment ref="E167" dT="2022-12-31T21:22:40.26" personId="{7223F2EA-A35D-FE46-AC16-0681ECF5150B}" id="{16203EF7-DEB7-FB48-8FE3-D7EB1A56C110}">
    <text>4% of (Total Construction Cost + Project Contingency).</text>
  </threadedComment>
  <threadedComment ref="C172" dT="2022-12-31T21:23:10.64" personId="{7223F2EA-A35D-FE46-AC16-0681ECF5150B}" id="{E1C987B6-E84D-5245-8DD3-3011A4CFD26A}">
    <text>Lump sum percentage of construction value + the itemized costs in the five rows below this row. Percentages will vary based on project type, how much existing FF&amp;E will be salvaged, etc. 
     - Typical project 5-10% 
     - Laboratory buildings 10-15%</text>
  </threadedComment>
</ThreadedComments>
</file>

<file path=xl/threadedComments/threadedComment4.xml><?xml version="1.0" encoding="utf-8"?>
<ThreadedComments xmlns="http://schemas.microsoft.com/office/spreadsheetml/2018/threadedcomments" xmlns:x="http://schemas.openxmlformats.org/spreadsheetml/2006/main">
  <threadedComment ref="H1" dT="2022-12-31T21:25:51.56" personId="{7223F2EA-A35D-FE46-AC16-0681ECF5150B}" id="{FA364F24-0F4A-A94F-B31F-D2A80431623B}">
    <text>This worksheet will auto-complete based on Project Budget Worksheet (PBW).</text>
  </threadedComment>
</ThreadedComments>
</file>

<file path=xl/threadedComments/threadedComment5.xml><?xml version="1.0" encoding="utf-8"?>
<ThreadedComments xmlns="http://schemas.microsoft.com/office/spreadsheetml/2018/threadedcomments" xmlns:x="http://schemas.openxmlformats.org/spreadsheetml/2006/main">
  <threadedComment ref="H1" dT="2022-12-31T21:27:02.39" personId="{7223F2EA-A35D-FE46-AC16-0681ECF5150B}" id="{86542E4D-466F-1D43-8AA7-E03BD517DCF5}">
    <text>This worksheet will auto-complete based on Project Budget Worksheet (PBW).</text>
  </threadedComment>
</ThreadedComments>
</file>

<file path=xl/threadedComments/threadedComment6.xml><?xml version="1.0" encoding="utf-8"?>
<ThreadedComments xmlns="http://schemas.microsoft.com/office/spreadsheetml/2018/threadedcomments" xmlns:x="http://schemas.openxmlformats.org/spreadsheetml/2006/main">
  <threadedComment ref="C3" dT="2022-12-31T21:28:04.74" personId="{7223F2EA-A35D-FE46-AC16-0681ECF5150B}" id="{11DDF280-7EC0-4E45-8240-5177D2392EDE}">
    <text>This value will auto-complete based on PBW_NoInflationWorksheet.</text>
  </threadedComment>
  <threadedComment ref="C4" dT="2022-12-31T21:28:23.73" personId="{7223F2EA-A35D-FE46-AC16-0681ECF5150B}" id="{FBDBE5AA-9E3A-A14B-84E2-79FC48CF0CBD}">
    <text>This value will auto-complete based on Project Budget Worksheet (PBW).</text>
  </threadedComment>
</ThreadedComments>
</file>

<file path=xl/threadedComments/threadedComment7.xml><?xml version="1.0" encoding="utf-8"?>
<ThreadedComments xmlns="http://schemas.microsoft.com/office/spreadsheetml/2018/threadedcomments" xmlns:x="http://schemas.openxmlformats.org/spreadsheetml/2006/main">
  <threadedComment ref="B3" dT="2022-12-31T21:29:02.33" personId="{7223F2EA-A35D-FE46-AC16-0681ECF5150B}" id="{F53B111D-F1EA-1C4B-B114-F199C84D472E}">
    <text>This value will auto-complete based on PBW_NoInflationWorksheet.</text>
  </threadedComment>
  <threadedComment ref="B4" dT="2022-12-31T21:29:19.72" personId="{7223F2EA-A35D-FE46-AC16-0681ECF5150B}" id="{E4A38D81-C874-BE48-9528-780AB12F2522}">
    <text>This value will auto-complete based on Project Budget Worksheet (PBW).</text>
  </threadedComment>
  <threadedComment ref="C4" dT="2022-12-31T21:30:03.43" personId="{7223F2EA-A35D-FE46-AC16-0681ECF5150B}" id="{889A9625-E221-9E4D-AB8F-CC0880916DB6}">
    <text>This value will auto-complete based on Project Budget Worksheet (PBW).</text>
  </threadedComment>
  <threadedComment ref="B5" dT="2022-12-31T21:29:27.96" personId="{7223F2EA-A35D-FE46-AC16-0681ECF5150B}" id="{E9F4FA1D-0A93-5C4C-B302-36EB949EE1E7}">
    <text>This value will auto-complete based on Project Budget Worksheet (PBW).</text>
  </threadedComment>
  <threadedComment ref="C5" dT="2022-12-31T21:30:14.48" personId="{7223F2EA-A35D-FE46-AC16-0681ECF5150B}" id="{261460B8-8540-CF44-BBF9-BB48AF5C767A}">
    <text>This value will auto-complete based on Project Budget Worksheet (PBW).</text>
  </threadedComment>
  <threadedComment ref="B6" dT="2022-12-31T21:29:36.76" personId="{7223F2EA-A35D-FE46-AC16-0681ECF5150B}" id="{39709B87-F2CC-334D-A2A5-FCAA7581238A}">
    <text>This value will auto-complete based on Project Budget Worksheet (PBW).</text>
  </threadedComment>
  <threadedComment ref="B8" dT="2022-12-31T21:29:51.79" personId="{7223F2EA-A35D-FE46-AC16-0681ECF5150B}" id="{422A518A-BDF2-5A40-AAB5-A9157313F1A0}">
    <text>This value will auto-complete based on Project Budget Worksheet (PBW).</text>
  </threadedComment>
</ThreadedComments>
</file>

<file path=xl/threadedComments/threadedComment8.xml><?xml version="1.0" encoding="utf-8"?>
<ThreadedComments xmlns="http://schemas.microsoft.com/office/spreadsheetml/2018/threadedcomments" xmlns:x="http://schemas.openxmlformats.org/spreadsheetml/2006/main">
  <threadedComment ref="B4" dT="2022-12-05T15:42:10.50" personId="{7223F2EA-A35D-FE46-AC16-0681ECF5150B}" id="{0D3BCD2F-46D2-B044-8C85-F730AA7FE02A}">
    <text>Intended that the modified Inflation Factor entered here would be determined and calculated based on a later PBW Revision template with a more current and updated ENR worksheet content. The ENR worksheet content included in this file is frozen in time.</text>
  </threadedComment>
  <threadedComment ref="B5" dT="2022-12-05T16:01:05.58" personId="{7223F2EA-A35D-FE46-AC16-0681ECF5150B}" id="{22B46F9E-F69B-9B48-B66F-6ABC2055377B}">
    <text>Primarily intended to quickly see differences in budget estimates for proposed accelerated schedules.</text>
  </threadedComment>
  <threadedComment ref="B6" dT="2022-12-05T15:46:10.20" personId="{7223F2EA-A35D-FE46-AC16-0681ECF5150B}" id="{9D7049F7-E8DB-944E-A72E-5C65561186DF}">
    <text>Although it is possible to make duplicates of the PBW worksheet in the same file to explore alternatives and options, the PBW_Summary worksheet will only map to the original PBW worksheet content.</text>
  </threadedComment>
  <threadedComment ref="B10" dT="2022-12-05T16:08:12.73" personId="{7223F2EA-A35D-FE46-AC16-0681ECF5150B}" id="{A1B2B75F-A08B-7D49-BF6F-F5EBFB69E006}">
    <text>Data source found at &lt;https://www.enr.com/economics/historical_indices/building_cost_index_history&gt;, but requires user account to access data content.</text>
    <extLst>
      <x:ext xmlns:xltc2="http://schemas.microsoft.com/office/spreadsheetml/2020/threadedcomments2" uri="{F7C98A9C-CBB3-438F-8F68-D28B6AF4A901}">
        <xltc2:checksum>1998844411</xltc2:checksum>
        <xltc2:hyperlink startIndex="22" length="76" url="https://www.enr.com/economics/historical_indices/building_cost_index_history"/>
      </x:ext>
    </extLst>
  </threadedComment>
  <threadedComment ref="B11" dT="2022-12-05T16:06:00.82" personId="{7223F2EA-A35D-FE46-AC16-0681ECF5150B}" id="{8227AF3A-8127-0C4A-9B44-38DEF30BAA12}">
    <text>Modified by UWSA to extend possible Bid Date range as DFD’s standard template only allowed Bid Dates through June 2026.</text>
  </threadedComment>
  <threadedComment ref="B13" dT="2022-12-05T16:04:46.40" personId="{7223F2EA-A35D-FE46-AC16-0681ECF5150B}" id="{E3589802-CE0B-B741-9456-BDC617ED50A5}">
    <text>Modeled after DFD’s Inflation Estimation Tool worksheet, but allows multiple Base Dates and extends range of possible Bid Dates.</text>
  </threadedComment>
  <threadedComment ref="B17" dT="2022-12-05T16:10:06.13" personId="{7223F2EA-A35D-FE46-AC16-0681ECF5150B}" id="{17A85E52-D7FF-ED4F-9ACA-93DFBAEA535C}">
    <text xml:space="preserve">PBW Revision Date and associated fields primarily created and generated to facilitate easy template updates without having to manually edit each worksheet in the template for a revision date. </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microsoft.com/office/2017/10/relationships/threadedComment" Target="../threadedComments/threadedComment7.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microsoft.com/office/2017/10/relationships/threadedComment" Target="../threadedComments/threadedComment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microsoft.com/office/2017/10/relationships/threadedComment" Target="../threadedComments/threadedComment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microsoft.com/office/2017/10/relationships/threadedComment" Target="../threadedComments/threadedComment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48DE3-E455-D54E-8E40-C0D45CB5C495}">
  <sheetPr codeName="Sheet1">
    <tabColor theme="2" tint="-0.249977111117893"/>
  </sheetPr>
  <dimension ref="A1:D51"/>
  <sheetViews>
    <sheetView showGridLines="0" view="pageLayout" zoomScaleNormal="100" workbookViewId="0">
      <selection activeCell="B18" sqref="B18"/>
    </sheetView>
  </sheetViews>
  <sheetFormatPr baseColWidth="10" defaultColWidth="10.796875" defaultRowHeight="12"/>
  <cols>
    <col min="1" max="1" width="18" customWidth="1"/>
    <col min="2" max="2" width="9.59765625" customWidth="1"/>
    <col min="3" max="3" width="57.59765625" customWidth="1"/>
    <col min="4" max="4" width="18" customWidth="1"/>
  </cols>
  <sheetData>
    <row r="1" spans="1:4" ht="13">
      <c r="A1" s="80" t="s">
        <v>118</v>
      </c>
      <c r="B1" s="33"/>
      <c r="C1" s="68" t="str">
        <f>(PBW!$B$4)</f>
        <v>X</v>
      </c>
      <c r="D1" s="33"/>
    </row>
    <row r="2" spans="1:4" ht="13">
      <c r="A2" s="80" t="s">
        <v>119</v>
      </c>
      <c r="B2" s="33"/>
      <c r="C2" s="68" t="str">
        <f>(PBW!$B$3)</f>
        <v>X</v>
      </c>
      <c r="D2" s="33"/>
    </row>
    <row r="3" spans="1:4" ht="13">
      <c r="A3" s="33"/>
      <c r="B3" s="325" t="s">
        <v>372</v>
      </c>
      <c r="C3" s="33"/>
      <c r="D3" s="33"/>
    </row>
    <row r="4" spans="1:4" ht="13">
      <c r="A4" s="77">
        <f>(PBW!$H$9)</f>
        <v>44927</v>
      </c>
      <c r="B4" s="500">
        <f>INDEX(ENR!$B$19:$M$99,MATCH(YEAR($A$4),ENR!$A$19:$A$99,1),MATCH(MONTH($A$4),ENR!$B$18:$M$18,1))</f>
        <v>7976.68</v>
      </c>
      <c r="C4" s="33" t="s">
        <v>115</v>
      </c>
      <c r="D4" s="194">
        <f>(PBW!$H$9)</f>
        <v>44927</v>
      </c>
    </row>
    <row r="5" spans="1:4" ht="13">
      <c r="A5" s="77">
        <f>(PBW!$H$10)</f>
        <v>47300</v>
      </c>
      <c r="B5" s="500">
        <f>INDEX(ENR!$B$19:$M$99,MATCH(YEAR($A$5),ENR!$A$19:$A$99,1),MATCH(MONTH($A$5),ENR!$B$18:$M$18,1))</f>
        <v>14068.091119606019</v>
      </c>
      <c r="C5" s="33" t="s">
        <v>250</v>
      </c>
      <c r="D5" s="194">
        <f>(PBW!$H$10)</f>
        <v>47300</v>
      </c>
    </row>
    <row r="6" spans="1:4" ht="13">
      <c r="A6" s="76">
        <f>($B$5/$B$4)</f>
        <v>1.763652436804036</v>
      </c>
      <c r="B6" s="33"/>
      <c r="C6" s="33" t="s">
        <v>253</v>
      </c>
      <c r="D6" s="218">
        <f>(ENR)</f>
        <v>1.763652436804036</v>
      </c>
    </row>
    <row r="7" spans="1:4" ht="13">
      <c r="A7" s="81"/>
      <c r="B7" s="33"/>
      <c r="C7" s="33"/>
      <c r="D7" s="33"/>
    </row>
    <row r="8" spans="1:4" ht="13">
      <c r="A8" s="81"/>
      <c r="B8" s="33"/>
      <c r="C8" s="33"/>
      <c r="D8" s="33"/>
    </row>
    <row r="9" spans="1:4" ht="13">
      <c r="A9" s="177" t="s">
        <v>165</v>
      </c>
      <c r="B9" s="33"/>
      <c r="C9" s="33"/>
      <c r="D9" s="200" t="s">
        <v>166</v>
      </c>
    </row>
    <row r="10" spans="1:4" ht="13">
      <c r="A10" s="33"/>
      <c r="B10" s="33"/>
      <c r="C10" s="33"/>
      <c r="D10" s="199"/>
    </row>
    <row r="11" spans="1:4" ht="13">
      <c r="A11" s="67">
        <f>(PBW!$E$133)</f>
        <v>0</v>
      </c>
      <c r="B11" s="33"/>
      <c r="C11" s="33" t="s">
        <v>157</v>
      </c>
      <c r="D11" s="191">
        <f>(PBW!$E$133)</f>
        <v>0</v>
      </c>
    </row>
    <row r="12" spans="1:4" ht="13">
      <c r="A12" s="69">
        <f>(PBW!$E$137)</f>
        <v>0</v>
      </c>
      <c r="B12" s="33"/>
      <c r="C12" s="33" t="s">
        <v>158</v>
      </c>
      <c r="D12" s="192">
        <f>(PBW!$E$137)</f>
        <v>0</v>
      </c>
    </row>
    <row r="13" spans="1:4" ht="13">
      <c r="A13" s="195">
        <f>SUM(A$11:A$12)</f>
        <v>0</v>
      </c>
      <c r="B13" s="33"/>
      <c r="C13" s="33" t="s">
        <v>159</v>
      </c>
      <c r="D13" s="196">
        <f>SUM(D$11:D$12)</f>
        <v>0</v>
      </c>
    </row>
    <row r="14" spans="1:4" ht="13">
      <c r="A14" s="67">
        <f>(PBW!$E$134)</f>
        <v>0</v>
      </c>
      <c r="B14" s="215">
        <f>(PBW!$C$134)</f>
        <v>0</v>
      </c>
      <c r="C14" s="33" t="s">
        <v>108</v>
      </c>
      <c r="D14" s="191">
        <f>(PBW!$E$134)</f>
        <v>0</v>
      </c>
    </row>
    <row r="15" spans="1:4" ht="13">
      <c r="A15" s="67">
        <f>(PBW!$E$135)</f>
        <v>0</v>
      </c>
      <c r="B15" s="215">
        <f>(PBW!$C$135)</f>
        <v>0</v>
      </c>
      <c r="C15" s="33" t="s">
        <v>437</v>
      </c>
      <c r="D15" s="191">
        <f>(PBW!$E$135)</f>
        <v>0</v>
      </c>
    </row>
    <row r="16" spans="1:4" ht="13">
      <c r="A16" s="69">
        <f>(PBW!$E$136)</f>
        <v>0</v>
      </c>
      <c r="B16" s="215">
        <f>(PBW!$C$136)</f>
        <v>0</v>
      </c>
      <c r="C16" s="33" t="s">
        <v>117</v>
      </c>
      <c r="D16" s="192">
        <f>(PBW!$E$136)</f>
        <v>0</v>
      </c>
    </row>
    <row r="17" spans="1:4" ht="13">
      <c r="A17" s="195">
        <f>(PBW!$E$138)</f>
        <v>0</v>
      </c>
      <c r="B17" s="78"/>
      <c r="C17" s="33" t="s">
        <v>160</v>
      </c>
      <c r="D17" s="196">
        <f>(PBW!$E$138)</f>
        <v>0</v>
      </c>
    </row>
    <row r="18" spans="1:4" ht="13">
      <c r="A18" s="69">
        <f>(A$19-A$17)</f>
        <v>0</v>
      </c>
      <c r="B18" s="201">
        <f>($A$6)</f>
        <v>1.763652436804036</v>
      </c>
      <c r="C18" s="33" t="s">
        <v>254</v>
      </c>
      <c r="D18" s="192">
        <f>ROUND(((PBW!$E$139)-$D$17),-3)</f>
        <v>0</v>
      </c>
    </row>
    <row r="19" spans="1:4" ht="13">
      <c r="A19" s="195">
        <f>ROUND(($A$17*$B$18),-3)</f>
        <v>0</v>
      </c>
      <c r="B19" s="70"/>
      <c r="C19" s="33" t="s">
        <v>161</v>
      </c>
      <c r="D19" s="196">
        <f>(TOTCONST)</f>
        <v>0</v>
      </c>
    </row>
    <row r="20" spans="1:4" ht="13">
      <c r="A20" s="67"/>
      <c r="B20" s="70"/>
      <c r="C20" s="33"/>
      <c r="D20" s="191"/>
    </row>
    <row r="21" spans="1:4" ht="13">
      <c r="A21" s="67"/>
      <c r="B21" s="70"/>
      <c r="C21" s="33"/>
      <c r="D21" s="191"/>
    </row>
    <row r="22" spans="1:4" ht="13">
      <c r="A22" s="67"/>
      <c r="B22" s="70"/>
      <c r="C22" s="33"/>
      <c r="D22" s="191"/>
    </row>
    <row r="23" spans="1:4" ht="13">
      <c r="A23" s="197">
        <f>($A$19)</f>
        <v>0</v>
      </c>
      <c r="B23" s="33"/>
      <c r="C23" s="33" t="s">
        <v>122</v>
      </c>
      <c r="D23" s="198">
        <f>(TOTCONST)</f>
        <v>0</v>
      </c>
    </row>
    <row r="24" spans="1:4" ht="13">
      <c r="A24" s="67"/>
      <c r="B24" s="33"/>
      <c r="C24" s="33"/>
      <c r="D24" s="191"/>
    </row>
    <row r="25" spans="1:4" ht="13">
      <c r="A25" s="67">
        <f>IF($A$23=0,0,ROUND($A$23*$B25,-3))</f>
        <v>0</v>
      </c>
      <c r="B25" s="215" t="str">
        <f>(PBW_Summary!$G$29)</f>
        <v/>
      </c>
      <c r="C25" s="33" t="s">
        <v>109</v>
      </c>
      <c r="D25" s="191">
        <f>(PBW!$H$141)</f>
        <v>0</v>
      </c>
    </row>
    <row r="26" spans="1:4" ht="13">
      <c r="A26" s="69">
        <f>IF($A$23=0,0,ROUND($A$23*$B26,-3))</f>
        <v>0</v>
      </c>
      <c r="B26" s="215" t="str">
        <f>(PBW_Summary!$G$30)</f>
        <v/>
      </c>
      <c r="C26" s="33" t="s">
        <v>110</v>
      </c>
      <c r="D26" s="192">
        <f>(PBW!$H$146)</f>
        <v>0</v>
      </c>
    </row>
    <row r="27" spans="1:4" ht="13">
      <c r="A27" s="197">
        <f>ROUND(SUM(A$25:A$26),-3)</f>
        <v>0</v>
      </c>
      <c r="B27" s="199"/>
      <c r="C27" s="33" t="s">
        <v>111</v>
      </c>
      <c r="D27" s="198">
        <f>ROUND(SUM(D$25:D$26),-3)</f>
        <v>0</v>
      </c>
    </row>
    <row r="28" spans="1:4" ht="13">
      <c r="A28" s="67"/>
      <c r="B28" s="199"/>
      <c r="C28" s="33"/>
      <c r="D28" s="191"/>
    </row>
    <row r="29" spans="1:4" ht="13">
      <c r="A29" s="197">
        <f>IF($A$23=0,0,ROUND($A$23*$B29,-3))</f>
        <v>0</v>
      </c>
      <c r="B29" s="215" t="str">
        <f>(PBW_Summary!$G$32)</f>
        <v/>
      </c>
      <c r="C29" s="33" t="s">
        <v>112</v>
      </c>
      <c r="D29" s="198">
        <f>(PBW!$H$165)</f>
        <v>0</v>
      </c>
    </row>
    <row r="30" spans="1:4" ht="13">
      <c r="A30" s="67"/>
      <c r="B30" s="216"/>
      <c r="C30" s="33"/>
      <c r="D30" s="191"/>
    </row>
    <row r="31" spans="1:4" ht="13">
      <c r="A31" s="197">
        <f>IF($A$23=0,0,ROUND($A$23*$B31,-3))</f>
        <v>0</v>
      </c>
      <c r="B31" s="215" t="str">
        <f>(PBW_Summary!$G$34)</f>
        <v/>
      </c>
      <c r="C31" s="33" t="s">
        <v>113</v>
      </c>
      <c r="D31" s="198">
        <f>(PBW!$H$167)</f>
        <v>0</v>
      </c>
    </row>
    <row r="32" spans="1:4" ht="13">
      <c r="A32" s="67"/>
      <c r="B32" s="216"/>
      <c r="C32" s="33"/>
      <c r="D32" s="191"/>
    </row>
    <row r="33" spans="1:4" ht="13">
      <c r="A33" s="67">
        <f>ROUND((PBW!$G$158),-3)</f>
        <v>0</v>
      </c>
      <c r="B33" s="215" t="str">
        <f>(PBW_Summary!$G$37)</f>
        <v/>
      </c>
      <c r="C33" s="33" t="s">
        <v>162</v>
      </c>
      <c r="D33" s="191">
        <f>(PBW!$G$158)</f>
        <v>0</v>
      </c>
    </row>
    <row r="34" spans="1:4" ht="13">
      <c r="A34" s="69">
        <f>ROUND((PBW!$G$171),-3)</f>
        <v>0</v>
      </c>
      <c r="B34" s="215" t="str">
        <f>(PBW_Summary!$G$38)</f>
        <v/>
      </c>
      <c r="C34" s="33" t="s">
        <v>163</v>
      </c>
      <c r="D34" s="192">
        <f>(PBW!$G$171)</f>
        <v>0</v>
      </c>
    </row>
    <row r="35" spans="1:4" ht="13">
      <c r="A35" s="197">
        <f>ROUND(SUM(A$33:A$34),-3)</f>
        <v>0</v>
      </c>
      <c r="B35" s="217" t="str">
        <f>(PBW_Summary!$G$36)</f>
        <v/>
      </c>
      <c r="C35" s="33" t="s">
        <v>164</v>
      </c>
      <c r="D35" s="198">
        <f>(PBW!$H$169)</f>
        <v>0</v>
      </c>
    </row>
    <row r="36" spans="1:4" ht="14" thickBot="1">
      <c r="A36" s="67"/>
      <c r="B36" s="33"/>
      <c r="C36" s="33"/>
      <c r="D36" s="191"/>
    </row>
    <row r="37" spans="1:4" ht="14" thickBot="1">
      <c r="A37" s="71">
        <f>ROUND(SUM(A$23,A$27,A$29,A$31,A$35),-3)</f>
        <v>0</v>
      </c>
      <c r="B37" s="68"/>
      <c r="C37" s="68" t="s">
        <v>114</v>
      </c>
      <c r="D37" s="193">
        <f>(PBW!$H$179)</f>
        <v>0</v>
      </c>
    </row>
    <row r="38" spans="1:4" ht="13">
      <c r="A38" s="33"/>
      <c r="B38" s="33"/>
      <c r="C38" s="33"/>
      <c r="D38" s="176"/>
    </row>
    <row r="39" spans="1:4" ht="13">
      <c r="A39" s="79" t="s">
        <v>116</v>
      </c>
      <c r="B39" s="33"/>
      <c r="C39" s="33"/>
      <c r="D39" s="176"/>
    </row>
    <row r="40" spans="1:4" ht="13">
      <c r="A40" s="33"/>
      <c r="B40" s="33"/>
      <c r="C40" s="33"/>
      <c r="D40" s="176"/>
    </row>
    <row r="41" spans="1:4" ht="12" customHeight="1">
      <c r="A41" s="543" t="s">
        <v>120</v>
      </c>
      <c r="B41" s="543"/>
      <c r="C41" s="543"/>
      <c r="D41" s="543"/>
    </row>
    <row r="42" spans="1:4" ht="12" customHeight="1">
      <c r="A42" s="543"/>
      <c r="B42" s="543"/>
      <c r="C42" s="543"/>
      <c r="D42" s="543"/>
    </row>
    <row r="43" spans="1:4" ht="12" customHeight="1">
      <c r="A43" s="543"/>
      <c r="B43" s="543"/>
      <c r="C43" s="543"/>
      <c r="D43" s="543"/>
    </row>
    <row r="44" spans="1:4" ht="12" customHeight="1">
      <c r="A44" s="543"/>
      <c r="B44" s="543"/>
      <c r="C44" s="543"/>
      <c r="D44" s="543"/>
    </row>
    <row r="45" spans="1:4" ht="12" customHeight="1">
      <c r="A45" s="543"/>
      <c r="B45" s="543"/>
      <c r="C45" s="543"/>
      <c r="D45" s="543"/>
    </row>
    <row r="46" spans="1:4" ht="12" customHeight="1">
      <c r="A46" s="543"/>
      <c r="B46" s="543"/>
      <c r="C46" s="543"/>
      <c r="D46" s="543"/>
    </row>
    <row r="47" spans="1:4" ht="12" customHeight="1">
      <c r="A47" s="543"/>
      <c r="B47" s="543"/>
      <c r="C47" s="543"/>
      <c r="D47" s="543"/>
    </row>
    <row r="48" spans="1:4" ht="12" customHeight="1">
      <c r="A48" s="543"/>
      <c r="B48" s="543"/>
      <c r="C48" s="543"/>
      <c r="D48" s="543"/>
    </row>
    <row r="49" spans="1:4" ht="12" customHeight="1">
      <c r="A49" s="543"/>
      <c r="B49" s="543"/>
      <c r="C49" s="543"/>
      <c r="D49" s="543"/>
    </row>
    <row r="50" spans="1:4" ht="12" customHeight="1">
      <c r="A50" s="543"/>
      <c r="B50" s="543"/>
      <c r="C50" s="543"/>
      <c r="D50" s="543"/>
    </row>
    <row r="51" spans="1:4" ht="12" customHeight="1">
      <c r="A51" s="543"/>
      <c r="B51" s="543"/>
      <c r="C51" s="543"/>
      <c r="D51" s="543"/>
    </row>
  </sheetData>
  <sheetProtection algorithmName="SHA-512" hashValue="/NIbqFrRcOz7hXvTglenveLN4EGDWdAKupij38QPhYScNgHzyB/EeTgXGqH9kJ3/vnZaHB6bh0d50guKg14apA==" saltValue="L3hkN7lUJPTzUL30zk1jog==" spinCount="100000" sheet="1" selectLockedCells="1"/>
  <mergeCells count="1">
    <mergeCell ref="A41:D51"/>
  </mergeCells>
  <pageMargins left="0.5" right="0.5" top="0.75" bottom="0.5" header="0.25" footer="0.25"/>
  <pageSetup orientation="portrait" horizontalDpi="0" verticalDpi="0"/>
  <headerFooter>
    <oddHeader>&amp;C&amp;"Arial Narrow Bold,Bold"&amp;18&amp;K000000Quick Inflation Factor Update (QIFU) Worksheet</oddHeader>
    <oddFooter>&amp;L&amp;"Arial Narrow,Regular"&amp;8&amp;K000000&amp;D&amp;C&amp;"Arial Narrow,Regular"&amp;8&amp;K000000PBW Quick Inflation Factor Upate (QIDU)&amp;R&amp;"Arial Narrow,Regular"&amp;8&amp;K000000&amp;P of &amp;N</oddFooter>
  </headerFooter>
  <ignoredErrors>
    <ignoredError sqref="B18 D4:D5" unlockedFormula="1"/>
  </ignoredErrors>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DD0F8-F278-F840-A8BD-50DD551F098D}">
  <sheetPr codeName="Sheet9">
    <tabColor rgb="FF961C37"/>
  </sheetPr>
  <dimension ref="A1:D8"/>
  <sheetViews>
    <sheetView showGridLines="0" zoomScaleNormal="100" workbookViewId="0"/>
  </sheetViews>
  <sheetFormatPr baseColWidth="10" defaultColWidth="10.59765625" defaultRowHeight="15"/>
  <cols>
    <col min="1" max="1" width="25" style="328" customWidth="1"/>
    <col min="2" max="3" width="19" style="328" customWidth="1"/>
    <col min="4" max="16384" width="10.59765625" style="328"/>
  </cols>
  <sheetData>
    <row r="1" spans="1:4" ht="18">
      <c r="A1" s="326" t="s">
        <v>262</v>
      </c>
      <c r="B1" s="327"/>
      <c r="C1" s="327"/>
    </row>
    <row r="2" spans="1:4">
      <c r="A2" s="327"/>
      <c r="B2" s="327"/>
      <c r="C2" s="327"/>
    </row>
    <row r="3" spans="1:4">
      <c r="A3" s="329" t="s">
        <v>261</v>
      </c>
      <c r="B3" s="330">
        <f>(PBW_NoInflation!$H$179)</f>
        <v>0</v>
      </c>
      <c r="C3" s="331" t="s">
        <v>217</v>
      </c>
    </row>
    <row r="4" spans="1:4">
      <c r="A4" s="332" t="s">
        <v>115</v>
      </c>
      <c r="B4" s="333">
        <f>(PBW!$H$9)</f>
        <v>44927</v>
      </c>
      <c r="C4" s="442">
        <f>(PBW!$G$9)</f>
        <v>7976.68</v>
      </c>
    </row>
    <row r="5" spans="1:4">
      <c r="A5" s="332" t="s">
        <v>250</v>
      </c>
      <c r="B5" s="333">
        <f>(PBW!$H$10)</f>
        <v>47300</v>
      </c>
      <c r="C5" s="442">
        <f>(PBW!$G$10)</f>
        <v>14068.091119606019</v>
      </c>
    </row>
    <row r="6" spans="1:4">
      <c r="A6" s="332" t="s">
        <v>258</v>
      </c>
      <c r="B6" s="334">
        <f>($C$5/$C$4)</f>
        <v>1.763652436804036</v>
      </c>
      <c r="C6" s="327"/>
    </row>
    <row r="7" spans="1:4">
      <c r="A7" s="339" t="s">
        <v>259</v>
      </c>
      <c r="B7" s="340">
        <f>ROUND(($B$8-$B$3),-3)</f>
        <v>0</v>
      </c>
      <c r="C7" s="343">
        <f>($B$7-'DFD Inflation Estimation Tool'!$C$6)</f>
        <v>0</v>
      </c>
      <c r="D7" s="344" t="s">
        <v>221</v>
      </c>
    </row>
    <row r="8" spans="1:4">
      <c r="A8" s="335" t="s">
        <v>260</v>
      </c>
      <c r="B8" s="336">
        <f>(PBW!$H$179)</f>
        <v>0</v>
      </c>
      <c r="C8" s="327"/>
    </row>
  </sheetData>
  <sheetProtection algorithmName="SHA-512" hashValue="MMORfXD63vF1rfd/bx8yQJxSANEtjibi8HVprBufzzwzWRRPozyCDpoiZ04bNqPrR9/nAX9Ut0y3DggjQZWICQ==" saltValue="DM/1JDtEYpNQuZhb+MD6Cw==" spinCount="100000" sheet="1" scenarios="1" selectLockedCells="1" selectUnlockedCells="1"/>
  <printOptions horizontalCentered="1"/>
  <pageMargins left="0.25" right="0.25" top="0.75" bottom="0.75" header="0.3" footer="0.3"/>
  <pageSetup orientation="portrait" horizontalDpi="1200" verticalDpi="12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C329-AA56-FD48-9187-3E4FC706D597}">
  <sheetPr codeName="Sheet10">
    <tabColor rgb="FFF8BA00"/>
  </sheetPr>
  <dimension ref="A1:B42"/>
  <sheetViews>
    <sheetView showGridLines="0" view="pageLayout" workbookViewId="0">
      <selection sqref="A1:B1"/>
    </sheetView>
  </sheetViews>
  <sheetFormatPr baseColWidth="10" defaultColWidth="8.59765625" defaultRowHeight="12"/>
  <cols>
    <col min="1" max="1" width="5" customWidth="1"/>
    <col min="2" max="2" width="100.796875" customWidth="1"/>
  </cols>
  <sheetData>
    <row r="1" spans="1:2" ht="16">
      <c r="A1" s="597" t="str">
        <f>"CAPITAL PROJECT BUDGET WORKSHEETS"&amp;" "&amp;VERSION</f>
        <v>CAPITAL PROJECT BUDGET WORKSHEETS Rev. 2023-03</v>
      </c>
      <c r="B1" s="597"/>
    </row>
    <row r="2" spans="1:2" ht="13">
      <c r="A2" s="33"/>
      <c r="B2" s="33"/>
    </row>
    <row r="3" spans="1:2" ht="13">
      <c r="A3" s="459" t="s">
        <v>349</v>
      </c>
      <c r="B3" s="458" t="s">
        <v>346</v>
      </c>
    </row>
    <row r="4" spans="1:2" ht="13">
      <c r="A4" s="503">
        <v>1</v>
      </c>
      <c r="B4" s="33" t="s">
        <v>354</v>
      </c>
    </row>
    <row r="5" spans="1:2" ht="13">
      <c r="A5" s="503">
        <v>2</v>
      </c>
      <c r="B5" s="33" t="s">
        <v>355</v>
      </c>
    </row>
    <row r="6" spans="1:2" ht="13">
      <c r="A6" s="510">
        <v>3</v>
      </c>
      <c r="B6" s="33" t="s">
        <v>356</v>
      </c>
    </row>
    <row r="7" spans="1:2" ht="13">
      <c r="A7" s="510">
        <v>4</v>
      </c>
      <c r="B7" s="33" t="s">
        <v>357</v>
      </c>
    </row>
    <row r="8" spans="1:2" ht="13">
      <c r="A8" s="505">
        <v>5</v>
      </c>
      <c r="B8" s="33" t="s">
        <v>358</v>
      </c>
    </row>
    <row r="9" spans="1:2" ht="13">
      <c r="A9" s="505">
        <v>6</v>
      </c>
      <c r="B9" s="33" t="s">
        <v>359</v>
      </c>
    </row>
    <row r="10" spans="1:2" ht="13">
      <c r="A10" s="509">
        <v>7</v>
      </c>
      <c r="B10" s="33" t="s">
        <v>351</v>
      </c>
    </row>
    <row r="11" spans="1:2" ht="13">
      <c r="A11" s="506">
        <v>8</v>
      </c>
      <c r="B11" s="33" t="s">
        <v>360</v>
      </c>
    </row>
    <row r="12" spans="1:2" ht="13">
      <c r="A12" s="506">
        <v>9</v>
      </c>
      <c r="B12" s="33" t="s">
        <v>361</v>
      </c>
    </row>
    <row r="13" spans="1:2" ht="13">
      <c r="A13" s="507">
        <v>10</v>
      </c>
      <c r="B13" s="33" t="s">
        <v>362</v>
      </c>
    </row>
    <row r="14" spans="1:2" ht="13">
      <c r="A14" s="511">
        <v>11</v>
      </c>
      <c r="B14" s="33" t="s">
        <v>363</v>
      </c>
    </row>
    <row r="15" spans="1:2" ht="13">
      <c r="A15" s="511">
        <v>12</v>
      </c>
      <c r="B15" s="33" t="s">
        <v>353</v>
      </c>
    </row>
    <row r="16" spans="1:2" ht="13">
      <c r="A16" s="508">
        <v>13</v>
      </c>
      <c r="B16" s="33" t="s">
        <v>350</v>
      </c>
    </row>
    <row r="17" spans="1:2" ht="13">
      <c r="A17" s="504">
        <v>14</v>
      </c>
      <c r="B17" s="33" t="s">
        <v>352</v>
      </c>
    </row>
    <row r="18" spans="1:2" ht="13">
      <c r="A18" s="33"/>
      <c r="B18" s="33"/>
    </row>
    <row r="19" spans="1:2" ht="13">
      <c r="A19" s="33"/>
      <c r="B19" s="33"/>
    </row>
    <row r="20" spans="1:2" ht="13">
      <c r="A20" s="33"/>
      <c r="B20" s="33"/>
    </row>
    <row r="21" spans="1:2" ht="42">
      <c r="A21" s="381">
        <v>1</v>
      </c>
      <c r="B21" s="382" t="s">
        <v>184</v>
      </c>
    </row>
    <row r="22" spans="1:2" ht="13">
      <c r="A22" s="383"/>
      <c r="B22" s="382"/>
    </row>
    <row r="23" spans="1:2" ht="84">
      <c r="A23" s="381">
        <v>2</v>
      </c>
      <c r="B23" s="382" t="s">
        <v>185</v>
      </c>
    </row>
    <row r="24" spans="1:2" ht="13">
      <c r="A24" s="383"/>
      <c r="B24" s="382"/>
    </row>
    <row r="25" spans="1:2" ht="70">
      <c r="A25" s="381">
        <v>3</v>
      </c>
      <c r="B25" s="382" t="s">
        <v>187</v>
      </c>
    </row>
    <row r="26" spans="1:2" ht="13">
      <c r="A26" s="383"/>
      <c r="B26" s="382"/>
    </row>
    <row r="27" spans="1:2" ht="70">
      <c r="A27" s="383"/>
      <c r="B27" s="384" t="s">
        <v>153</v>
      </c>
    </row>
    <row r="28" spans="1:2" ht="13">
      <c r="A28" s="383"/>
      <c r="B28" s="382"/>
    </row>
    <row r="29" spans="1:2" ht="144" customHeight="1">
      <c r="A29" s="381">
        <v>4</v>
      </c>
      <c r="B29" s="382" t="s">
        <v>263</v>
      </c>
    </row>
    <row r="30" spans="1:2" ht="13">
      <c r="A30" s="383"/>
      <c r="B30" s="382"/>
    </row>
    <row r="31" spans="1:2" ht="90" customHeight="1">
      <c r="A31" s="381">
        <v>5</v>
      </c>
      <c r="B31" s="382" t="s">
        <v>154</v>
      </c>
    </row>
    <row r="32" spans="1:2" ht="13">
      <c r="A32" s="383"/>
      <c r="B32" s="382"/>
    </row>
    <row r="33" spans="1:2" ht="133" customHeight="1">
      <c r="A33" s="381">
        <v>6</v>
      </c>
      <c r="B33" s="382" t="s">
        <v>172</v>
      </c>
    </row>
    <row r="34" spans="1:2" ht="13">
      <c r="A34" s="381"/>
      <c r="B34" s="382"/>
    </row>
    <row r="35" spans="1:2" ht="28">
      <c r="A35" s="381">
        <v>7</v>
      </c>
      <c r="B35" s="382" t="s">
        <v>200</v>
      </c>
    </row>
    <row r="36" spans="1:2" ht="13">
      <c r="A36" s="381"/>
      <c r="B36" s="382"/>
    </row>
    <row r="37" spans="1:2" ht="28">
      <c r="A37" s="381">
        <v>8</v>
      </c>
      <c r="B37" s="382" t="s">
        <v>442</v>
      </c>
    </row>
    <row r="39" spans="1:2" ht="195">
      <c r="A39" s="381"/>
      <c r="B39" s="542" t="s">
        <v>440</v>
      </c>
    </row>
    <row r="40" spans="1:2" ht="195">
      <c r="A40" s="381"/>
      <c r="B40" s="542" t="s">
        <v>441</v>
      </c>
    </row>
    <row r="41" spans="1:2" ht="224">
      <c r="A41" s="381"/>
      <c r="B41" s="382" t="s">
        <v>439</v>
      </c>
    </row>
    <row r="42" spans="1:2" ht="13">
      <c r="A42" s="598"/>
      <c r="B42" s="598"/>
    </row>
  </sheetData>
  <sheetProtection algorithmName="SHA-512" hashValue="2HV4x5AcSWamnQd+hMbeGUNcfiz85cmQcoQjWlxnn0LNdDPgLhpLpUKfYIFbb5cQskLuAu7CgONR19CQOw7v5Q==" saltValue="r498COSRDOb11aRH57OhRQ==" spinCount="100000" sheet="1" scenarios="1" selectLockedCells="1" selectUnlockedCells="1"/>
  <sortState xmlns:xlrd2="http://schemas.microsoft.com/office/spreadsheetml/2017/richdata2" ref="A4:B17">
    <sortCondition ref="A4:A17"/>
  </sortState>
  <mergeCells count="2">
    <mergeCell ref="A1:B1"/>
    <mergeCell ref="A42:B42"/>
  </mergeCells>
  <printOptions horizontalCentered="1"/>
  <pageMargins left="0.25" right="0.25" top="0.5" bottom="0.5" header="0.25" footer="0.25"/>
  <pageSetup orientation="portrait" horizontalDpi="4294967292" verticalDpi="4294967292" r:id="rId1"/>
  <headerFooter>
    <oddFooter>&amp;C&amp;"Arial Narrow,Regular"&amp;8&amp;K000000Read Me</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C7917-FF5D-4144-A8C6-A7B55E8CA637}">
  <sheetPr codeName="Sheet11">
    <tabColor rgb="FFF8BA00"/>
  </sheetPr>
  <dimension ref="A1:G53"/>
  <sheetViews>
    <sheetView showGridLines="0" view="pageLayout" workbookViewId="0">
      <selection sqref="A1:F1"/>
    </sheetView>
  </sheetViews>
  <sheetFormatPr baseColWidth="10" defaultColWidth="9.19921875" defaultRowHeight="12"/>
  <cols>
    <col min="1" max="1" width="32.3984375" customWidth="1"/>
    <col min="2" max="3" width="10.796875" customWidth="1"/>
    <col min="4" max="5" width="8.59765625" customWidth="1"/>
    <col min="6" max="6" width="42.59765625" customWidth="1"/>
  </cols>
  <sheetData>
    <row r="1" spans="1:7" ht="18" customHeight="1">
      <c r="A1" s="599" t="str">
        <f>"NEW CONSTRUCTION COST GUIDELINES"&amp;" "&amp;VERSION</f>
        <v>NEW CONSTRUCTION COST GUIDELINES Rev. 2023-03</v>
      </c>
      <c r="B1" s="600"/>
      <c r="C1" s="600"/>
      <c r="D1" s="601"/>
      <c r="E1" s="600"/>
      <c r="F1" s="602"/>
      <c r="G1" s="178"/>
    </row>
    <row r="2" spans="1:7" ht="12" customHeight="1">
      <c r="A2" s="609" t="s">
        <v>343</v>
      </c>
      <c r="B2" s="611" t="s">
        <v>34</v>
      </c>
      <c r="C2" s="609" t="s">
        <v>344</v>
      </c>
      <c r="D2" s="605" t="s">
        <v>339</v>
      </c>
      <c r="E2" s="606"/>
      <c r="F2" s="609" t="s">
        <v>345</v>
      </c>
      <c r="G2" s="178"/>
    </row>
    <row r="3" spans="1:7" ht="11.5" customHeight="1">
      <c r="A3" s="610"/>
      <c r="B3" s="612"/>
      <c r="C3" s="610"/>
      <c r="D3" s="456" t="s">
        <v>341</v>
      </c>
      <c r="E3" s="457" t="s">
        <v>342</v>
      </c>
      <c r="F3" s="610"/>
      <c r="G3" s="178"/>
    </row>
    <row r="4" spans="1:7" ht="12" customHeight="1">
      <c r="A4" s="179" t="s">
        <v>71</v>
      </c>
      <c r="B4" s="180">
        <v>140000</v>
      </c>
      <c r="C4" s="181">
        <v>65</v>
      </c>
      <c r="D4" s="450">
        <f>ROUNDUP((250*ENR!$AE$15),0)</f>
        <v>251</v>
      </c>
      <c r="E4" s="451">
        <f>ROUNDUP((330*ENR!$AE$15),0)</f>
        <v>332</v>
      </c>
      <c r="F4" s="179"/>
      <c r="G4" s="178"/>
    </row>
    <row r="5" spans="1:7" ht="12" customHeight="1">
      <c r="A5" s="182" t="s">
        <v>7</v>
      </c>
      <c r="B5" s="183">
        <v>140000</v>
      </c>
      <c r="C5" s="184">
        <v>65</v>
      </c>
      <c r="D5" s="448">
        <f>ROUNDUP((250*ENR!$AE$15),0)</f>
        <v>251</v>
      </c>
      <c r="E5" s="449">
        <f>ROUNDUP((275*ENR!$AE$15),0)</f>
        <v>276</v>
      </c>
      <c r="F5" s="182"/>
      <c r="G5" s="178"/>
    </row>
    <row r="6" spans="1:7" ht="12" customHeight="1">
      <c r="A6" s="182"/>
      <c r="B6" s="183"/>
      <c r="C6" s="184"/>
      <c r="D6" s="448"/>
      <c r="E6" s="449"/>
      <c r="F6" s="182"/>
      <c r="G6" s="178"/>
    </row>
    <row r="7" spans="1:7" ht="12" customHeight="1">
      <c r="A7" s="182" t="s">
        <v>8</v>
      </c>
      <c r="B7" s="183">
        <v>10000</v>
      </c>
      <c r="C7" s="184">
        <v>65</v>
      </c>
      <c r="D7" s="448">
        <f>ROUNDUP((495*ENR!$AE$15),0)</f>
        <v>497</v>
      </c>
      <c r="E7" s="449">
        <f>ROUNDUP((770*ENR!$AE$15),0)</f>
        <v>773</v>
      </c>
      <c r="F7" s="182"/>
      <c r="G7" s="178"/>
    </row>
    <row r="8" spans="1:7" ht="12" customHeight="1">
      <c r="A8" s="182"/>
      <c r="B8" s="183"/>
      <c r="C8" s="184"/>
      <c r="D8" s="448"/>
      <c r="E8" s="449"/>
      <c r="F8" s="182"/>
      <c r="G8" s="178"/>
    </row>
    <row r="9" spans="1:7" ht="55" customHeight="1">
      <c r="A9" s="182" t="s">
        <v>167</v>
      </c>
      <c r="B9" s="183">
        <v>30000</v>
      </c>
      <c r="C9" s="184">
        <v>65</v>
      </c>
      <c r="D9" s="448">
        <f>ROUNDUP((290*ENR!$AE$15),0)</f>
        <v>292</v>
      </c>
      <c r="E9" s="449">
        <f>ROUNDUP((390*ENR!$AE$15),0)</f>
        <v>392</v>
      </c>
      <c r="F9" s="185" t="s">
        <v>107</v>
      </c>
      <c r="G9" s="178"/>
    </row>
    <row r="10" spans="1:7" ht="12" customHeight="1">
      <c r="A10" s="182"/>
      <c r="B10" s="183"/>
      <c r="C10" s="184"/>
      <c r="D10" s="448"/>
      <c r="E10" s="449"/>
      <c r="F10" s="182"/>
      <c r="G10" s="178"/>
    </row>
    <row r="11" spans="1:7" ht="12" customHeight="1">
      <c r="A11" s="455" t="s">
        <v>9</v>
      </c>
      <c r="B11" s="203"/>
      <c r="C11" s="204"/>
      <c r="D11" s="452"/>
      <c r="E11" s="453"/>
      <c r="F11" s="202"/>
      <c r="G11" s="178"/>
    </row>
    <row r="12" spans="1:7" ht="12" customHeight="1">
      <c r="A12" s="186" t="s">
        <v>377</v>
      </c>
      <c r="B12" s="183">
        <v>100000</v>
      </c>
      <c r="C12" s="184">
        <v>62</v>
      </c>
      <c r="D12" s="448">
        <f>ROUNDUP((330*ENR!$AE$15),0)</f>
        <v>332</v>
      </c>
      <c r="E12" s="449">
        <f>ROUNDUP((385*ENR!$AE$15),0)</f>
        <v>387</v>
      </c>
      <c r="F12" s="182"/>
      <c r="G12" s="178"/>
    </row>
    <row r="13" spans="1:7" ht="12" customHeight="1">
      <c r="A13" s="186" t="s">
        <v>378</v>
      </c>
      <c r="B13" s="183">
        <v>25000</v>
      </c>
      <c r="C13" s="184">
        <v>60</v>
      </c>
      <c r="D13" s="448">
        <f>ROUNDUP((360*ENR!$AE$15),0)</f>
        <v>362</v>
      </c>
      <c r="E13" s="449">
        <f>ROUNDUP((390*ENR!$AE$15),0)</f>
        <v>392</v>
      </c>
      <c r="F13" s="182"/>
      <c r="G13" s="178"/>
    </row>
    <row r="14" spans="1:7" ht="12" customHeight="1">
      <c r="A14" s="186" t="s">
        <v>379</v>
      </c>
      <c r="B14" s="183">
        <v>25000</v>
      </c>
      <c r="C14" s="184">
        <v>58</v>
      </c>
      <c r="D14" s="448">
        <f>ROUNDUP((490*ENR!$AE$15),0)</f>
        <v>492</v>
      </c>
      <c r="E14" s="449">
        <f>ROUNDUP((710*ENR!$AE$15),0)</f>
        <v>713</v>
      </c>
      <c r="F14" s="182"/>
      <c r="G14" s="178"/>
    </row>
    <row r="15" spans="1:7" ht="12" customHeight="1">
      <c r="A15" s="186" t="s">
        <v>380</v>
      </c>
      <c r="B15" s="183">
        <v>100000</v>
      </c>
      <c r="C15" s="184">
        <v>55</v>
      </c>
      <c r="D15" s="448">
        <f>ROUNDUP((475*ENR!$AE$15),0)</f>
        <v>477</v>
      </c>
      <c r="E15" s="449">
        <f>ROUNDUP((710*ENR!$AE$15),0)</f>
        <v>713</v>
      </c>
      <c r="F15" s="182"/>
      <c r="G15" s="178"/>
    </row>
    <row r="16" spans="1:7" ht="12" customHeight="1">
      <c r="A16" s="186" t="s">
        <v>381</v>
      </c>
      <c r="B16" s="183">
        <v>15000</v>
      </c>
      <c r="C16" s="184">
        <v>55</v>
      </c>
      <c r="D16" s="448">
        <f>ROUNDUP((630*ENR!$AE$15),0)</f>
        <v>633</v>
      </c>
      <c r="E16" s="449">
        <f>ROUNDUP((690*ENR!$AE$15),0)</f>
        <v>693</v>
      </c>
      <c r="F16" s="182"/>
      <c r="G16" s="178"/>
    </row>
    <row r="17" spans="1:7" ht="12" customHeight="1">
      <c r="A17" s="186" t="s">
        <v>382</v>
      </c>
      <c r="B17" s="183">
        <v>25000</v>
      </c>
      <c r="C17" s="184">
        <v>65</v>
      </c>
      <c r="D17" s="448">
        <f>ROUNDUP((295*ENR!$AE$15),0)</f>
        <v>297</v>
      </c>
      <c r="E17" s="449">
        <f>ROUNDUP((390*ENR!$AE$15),0)</f>
        <v>392</v>
      </c>
      <c r="F17" s="182"/>
      <c r="G17" s="178"/>
    </row>
    <row r="18" spans="1:7" ht="12" customHeight="1">
      <c r="A18" s="186" t="s">
        <v>383</v>
      </c>
      <c r="B18" s="183">
        <v>10000</v>
      </c>
      <c r="C18" s="184">
        <v>80</v>
      </c>
      <c r="D18" s="448">
        <f>ROUNDUP((295*ENR!$AE$15),0)</f>
        <v>297</v>
      </c>
      <c r="E18" s="449">
        <f>ROUNDUP((330*ENR!$AE$15),0)</f>
        <v>332</v>
      </c>
      <c r="F18" s="182"/>
      <c r="G18" s="178"/>
    </row>
    <row r="19" spans="1:7" ht="12" customHeight="1">
      <c r="A19" s="186" t="s">
        <v>384</v>
      </c>
      <c r="B19" s="183">
        <v>25000</v>
      </c>
      <c r="C19" s="184">
        <v>80</v>
      </c>
      <c r="D19" s="448">
        <f>ROUNDUP((330*ENR!$AE$15),0)</f>
        <v>332</v>
      </c>
      <c r="E19" s="449">
        <f>ROUNDUP((380*ENR!$AE$15),0)</f>
        <v>382</v>
      </c>
      <c r="F19" s="182"/>
      <c r="G19" s="178"/>
    </row>
    <row r="20" spans="1:7" ht="12" customHeight="1">
      <c r="A20" s="182"/>
      <c r="B20" s="183"/>
      <c r="C20" s="184"/>
      <c r="D20" s="448"/>
      <c r="E20" s="449"/>
      <c r="F20" s="182"/>
      <c r="G20" s="178"/>
    </row>
    <row r="21" spans="1:7" ht="12" customHeight="1">
      <c r="A21" s="182" t="s">
        <v>10</v>
      </c>
      <c r="B21" s="183">
        <v>80000</v>
      </c>
      <c r="C21" s="454">
        <v>65</v>
      </c>
      <c r="D21" s="449">
        <f>ROUNDUP((220*ENR!$AE$15),0)</f>
        <v>221</v>
      </c>
      <c r="E21" s="449">
        <f>ROUNDUP((315*ENR!$AE$15),0)</f>
        <v>317</v>
      </c>
      <c r="F21" s="182"/>
      <c r="G21" s="178"/>
    </row>
    <row r="22" spans="1:7" ht="12" customHeight="1">
      <c r="A22" s="182"/>
      <c r="B22" s="183"/>
      <c r="C22" s="184"/>
      <c r="D22" s="448"/>
      <c r="E22" s="449"/>
      <c r="F22" s="182"/>
      <c r="G22" s="178"/>
    </row>
    <row r="23" spans="1:7" ht="12" customHeight="1">
      <c r="A23" s="455" t="s">
        <v>73</v>
      </c>
      <c r="B23" s="203"/>
      <c r="C23" s="204"/>
      <c r="D23" s="452"/>
      <c r="E23" s="453"/>
      <c r="F23" s="202"/>
      <c r="G23" s="178"/>
    </row>
    <row r="24" spans="1:7" ht="12" customHeight="1">
      <c r="A24" s="186" t="s">
        <v>385</v>
      </c>
      <c r="B24" s="183">
        <v>10000</v>
      </c>
      <c r="C24" s="184">
        <v>65</v>
      </c>
      <c r="D24" s="448">
        <f>ROUNDUP((210*ENR!$AE$15),0)</f>
        <v>211</v>
      </c>
      <c r="E24" s="449">
        <f>ROUNDUP((265*ENR!$AE$15),0)</f>
        <v>266</v>
      </c>
      <c r="F24" s="603" t="s">
        <v>11</v>
      </c>
      <c r="G24" s="178"/>
    </row>
    <row r="25" spans="1:7" ht="12" customHeight="1">
      <c r="A25" s="186" t="s">
        <v>386</v>
      </c>
      <c r="B25" s="183">
        <v>40000</v>
      </c>
      <c r="C25" s="184">
        <v>65</v>
      </c>
      <c r="D25" s="448">
        <f>ROUNDUP((200*ENR!$AE$15),0)</f>
        <v>201</v>
      </c>
      <c r="E25" s="449">
        <f>ROUNDUP((265*ENR!$AE$15),0)</f>
        <v>266</v>
      </c>
      <c r="F25" s="604"/>
      <c r="G25" s="178"/>
    </row>
    <row r="26" spans="1:7" ht="12" customHeight="1">
      <c r="A26" s="182"/>
      <c r="B26" s="183"/>
      <c r="C26" s="184"/>
      <c r="D26" s="448"/>
      <c r="E26" s="449"/>
      <c r="F26" s="182"/>
      <c r="G26" s="178"/>
    </row>
    <row r="27" spans="1:7" ht="12" customHeight="1">
      <c r="A27" s="455" t="s">
        <v>168</v>
      </c>
      <c r="B27" s="203">
        <v>120000</v>
      </c>
      <c r="C27" s="204">
        <v>70</v>
      </c>
      <c r="D27" s="452">
        <f>ROUNDUP((230*ENR!$AE$15),0)</f>
        <v>231</v>
      </c>
      <c r="E27" s="453">
        <f>ROUNDUP((265*ENR!$AE$15),0)</f>
        <v>266</v>
      </c>
      <c r="F27" s="202"/>
      <c r="G27" s="178"/>
    </row>
    <row r="28" spans="1:7" ht="12" customHeight="1">
      <c r="A28" s="186" t="s">
        <v>387</v>
      </c>
      <c r="B28" s="183">
        <v>80000</v>
      </c>
      <c r="C28" s="184">
        <v>78</v>
      </c>
      <c r="D28" s="448">
        <f>ROUNDUP((230*ENR!$AE$15),0)</f>
        <v>231</v>
      </c>
      <c r="E28" s="449">
        <f>ROUNDUP((275*ENR!$AE$15),0)</f>
        <v>276</v>
      </c>
      <c r="F28" s="182"/>
      <c r="G28" s="178"/>
    </row>
    <row r="29" spans="1:7" ht="12" customHeight="1">
      <c r="A29" s="186" t="s">
        <v>388</v>
      </c>
      <c r="B29" s="183">
        <v>45000</v>
      </c>
      <c r="C29" s="184">
        <v>75</v>
      </c>
      <c r="D29" s="448">
        <f>ROUNDUP((220*ENR!$AE$15),0)</f>
        <v>221</v>
      </c>
      <c r="E29" s="449">
        <f>ROUNDUP((250*ENR!$AE$15),0)</f>
        <v>251</v>
      </c>
      <c r="F29" s="182"/>
      <c r="G29" s="178"/>
    </row>
    <row r="30" spans="1:7" ht="12" customHeight="1">
      <c r="A30" s="186" t="s">
        <v>389</v>
      </c>
      <c r="B30" s="183">
        <v>115000</v>
      </c>
      <c r="C30" s="184">
        <v>74</v>
      </c>
      <c r="D30" s="448">
        <f>ROUNDUP((165*ENR!$AE$15),0)</f>
        <v>166</v>
      </c>
      <c r="E30" s="449">
        <f>ROUNDUP((195*ENR!$AE$15),0)</f>
        <v>196</v>
      </c>
      <c r="F30" s="182"/>
      <c r="G30" s="178"/>
    </row>
    <row r="31" spans="1:7" ht="12" customHeight="1">
      <c r="A31" s="186" t="s">
        <v>390</v>
      </c>
      <c r="B31" s="183">
        <v>10000</v>
      </c>
      <c r="C31" s="184">
        <v>78</v>
      </c>
      <c r="D31" s="448">
        <f>ROUNDUP((330*ENR!$AE$15),0)</f>
        <v>332</v>
      </c>
      <c r="E31" s="449">
        <f>ROUNDUP((385*ENR!$AE$15),0)</f>
        <v>387</v>
      </c>
      <c r="F31" s="182"/>
      <c r="G31" s="178"/>
    </row>
    <row r="32" spans="1:7" ht="12" customHeight="1">
      <c r="A32" s="182"/>
      <c r="B32" s="183"/>
      <c r="C32" s="184"/>
      <c r="D32" s="448"/>
      <c r="E32" s="449"/>
      <c r="F32" s="182"/>
      <c r="G32" s="178"/>
    </row>
    <row r="33" spans="1:7" ht="12" customHeight="1">
      <c r="A33" s="455" t="s">
        <v>12</v>
      </c>
      <c r="B33" s="203"/>
      <c r="C33" s="204"/>
      <c r="D33" s="452"/>
      <c r="E33" s="453"/>
      <c r="F33" s="202"/>
      <c r="G33" s="178"/>
    </row>
    <row r="34" spans="1:7" ht="12" customHeight="1">
      <c r="A34" s="187" t="s">
        <v>391</v>
      </c>
      <c r="B34" s="183">
        <v>160000</v>
      </c>
      <c r="C34" s="184">
        <v>80</v>
      </c>
      <c r="D34" s="448">
        <f>ROUNDUP((260*ENR!$AE$15),0)</f>
        <v>261</v>
      </c>
      <c r="E34" s="449">
        <f>ROUNDUP((350*ENR!$AE$15),0)</f>
        <v>352</v>
      </c>
      <c r="F34" s="182"/>
      <c r="G34" s="178"/>
    </row>
    <row r="35" spans="1:7" ht="12" customHeight="1">
      <c r="A35" s="187" t="s">
        <v>392</v>
      </c>
      <c r="B35" s="183">
        <v>110000</v>
      </c>
      <c r="C35" s="184">
        <v>80</v>
      </c>
      <c r="D35" s="448">
        <f>ROUNDUP((260*ENR!$AE$15),0)</f>
        <v>261</v>
      </c>
      <c r="E35" s="449">
        <f>ROUNDUP((350*ENR!$AE$15),0)</f>
        <v>352</v>
      </c>
      <c r="F35" s="182" t="s">
        <v>155</v>
      </c>
      <c r="G35" s="178"/>
    </row>
    <row r="36" spans="1:7" ht="12" customHeight="1">
      <c r="A36" s="182"/>
      <c r="B36" s="183"/>
      <c r="C36" s="184"/>
      <c r="D36" s="448"/>
      <c r="E36" s="449"/>
      <c r="F36" s="182"/>
      <c r="G36" s="178"/>
    </row>
    <row r="37" spans="1:7" ht="12" customHeight="1">
      <c r="A37" s="182" t="s">
        <v>13</v>
      </c>
      <c r="B37" s="183">
        <v>100000</v>
      </c>
      <c r="C37" s="184"/>
      <c r="D37" s="448">
        <f>ROUNDUP((330*ENR!$AE$15),0)</f>
        <v>332</v>
      </c>
      <c r="E37" s="449">
        <f>ROUNDUP((370*ENR!$AE$15),0)</f>
        <v>372</v>
      </c>
      <c r="F37" s="182"/>
      <c r="G37" s="178"/>
    </row>
    <row r="38" spans="1:7" ht="12" customHeight="1">
      <c r="A38" s="182"/>
      <c r="B38" s="183"/>
      <c r="C38" s="184"/>
      <c r="D38" s="448"/>
      <c r="E38" s="449"/>
      <c r="F38" s="182"/>
      <c r="G38" s="178"/>
    </row>
    <row r="39" spans="1:7" ht="12" customHeight="1">
      <c r="A39" s="455" t="s">
        <v>169</v>
      </c>
      <c r="B39" s="203"/>
      <c r="C39" s="204"/>
      <c r="D39" s="452"/>
      <c r="E39" s="453"/>
      <c r="F39" s="202"/>
      <c r="G39" s="178"/>
    </row>
    <row r="40" spans="1:7" ht="12" customHeight="1">
      <c r="A40" s="188" t="s">
        <v>393</v>
      </c>
      <c r="B40" s="183">
        <v>35000</v>
      </c>
      <c r="C40" s="184">
        <v>85</v>
      </c>
      <c r="D40" s="448">
        <f>ROUNDUP((140*ENR!$AE$15),0)</f>
        <v>141</v>
      </c>
      <c r="E40" s="449">
        <f>ROUNDUP((165*ENR!$AE$15),0)</f>
        <v>166</v>
      </c>
      <c r="F40" s="182" t="s">
        <v>14</v>
      </c>
      <c r="G40" s="178"/>
    </row>
    <row r="41" spans="1:7" ht="12" customHeight="1">
      <c r="A41" s="188" t="s">
        <v>394</v>
      </c>
      <c r="B41" s="183">
        <v>15000</v>
      </c>
      <c r="C41" s="184">
        <v>90</v>
      </c>
      <c r="D41" s="448">
        <f>ROUNDUP((110*ENR!$AE$15),0)</f>
        <v>111</v>
      </c>
      <c r="E41" s="449">
        <f>ROUNDUP((140*ENR!$AE$15),0)</f>
        <v>141</v>
      </c>
      <c r="F41" s="182" t="s">
        <v>15</v>
      </c>
      <c r="G41" s="178"/>
    </row>
    <row r="42" spans="1:7" ht="12" customHeight="1">
      <c r="A42" s="182"/>
      <c r="B42" s="183"/>
      <c r="C42" s="184"/>
      <c r="D42" s="448"/>
      <c r="E42" s="449"/>
      <c r="F42" s="182"/>
      <c r="G42" s="178"/>
    </row>
    <row r="43" spans="1:7" ht="12" customHeight="1">
      <c r="A43" s="182" t="s">
        <v>170</v>
      </c>
      <c r="B43" s="183">
        <v>25000</v>
      </c>
      <c r="C43" s="184">
        <v>85</v>
      </c>
      <c r="D43" s="448">
        <f>ROUNDUP((165*ENR!$AE$15),0)</f>
        <v>166</v>
      </c>
      <c r="E43" s="449">
        <f>ROUNDUP((195*ENR!$AE$15),0)</f>
        <v>196</v>
      </c>
      <c r="F43" s="182"/>
      <c r="G43" s="178"/>
    </row>
    <row r="44" spans="1:7" ht="12" customHeight="1">
      <c r="A44" s="182"/>
      <c r="B44" s="183"/>
      <c r="C44" s="184"/>
      <c r="D44" s="448"/>
      <c r="E44" s="449"/>
      <c r="F44" s="182"/>
      <c r="G44" s="178"/>
    </row>
    <row r="45" spans="1:7" ht="12" customHeight="1">
      <c r="A45" s="455" t="s">
        <v>171</v>
      </c>
      <c r="B45" s="203"/>
      <c r="C45" s="204"/>
      <c r="D45" s="452"/>
      <c r="E45" s="453"/>
      <c r="F45" s="202"/>
      <c r="G45" s="178"/>
    </row>
    <row r="46" spans="1:7" ht="12" customHeight="1">
      <c r="A46" s="187" t="s">
        <v>395</v>
      </c>
      <c r="B46" s="183">
        <v>4000</v>
      </c>
      <c r="C46" s="184">
        <v>95</v>
      </c>
      <c r="D46" s="448">
        <f>ROUNDUP((85*ENR!$AE$15),0)</f>
        <v>86</v>
      </c>
      <c r="E46" s="449">
        <f>ROUNDUP((115*ENR!$AE$15),0)</f>
        <v>116</v>
      </c>
      <c r="F46" s="182"/>
      <c r="G46" s="178"/>
    </row>
    <row r="47" spans="1:7" ht="12" customHeight="1">
      <c r="A47" s="187" t="s">
        <v>396</v>
      </c>
      <c r="B47" s="183">
        <v>4000</v>
      </c>
      <c r="C47" s="184">
        <v>95</v>
      </c>
      <c r="D47" s="448">
        <f>ROUNDUP((110*ENR!$AE$15),0)</f>
        <v>111</v>
      </c>
      <c r="E47" s="449">
        <f>ROUNDUP((150*ENR!$AE$15),0)</f>
        <v>151</v>
      </c>
      <c r="F47" s="182"/>
      <c r="G47" s="178"/>
    </row>
    <row r="48" spans="1:7" ht="12" customHeight="1">
      <c r="A48" s="523"/>
      <c r="B48" s="523"/>
      <c r="C48" s="524"/>
      <c r="D48" s="525"/>
      <c r="E48" s="526"/>
      <c r="F48" s="523"/>
      <c r="G48" s="178"/>
    </row>
    <row r="49" spans="1:7" ht="12" customHeight="1">
      <c r="A49" s="531" t="s">
        <v>16</v>
      </c>
      <c r="B49" s="532" t="s">
        <v>329</v>
      </c>
      <c r="C49" s="533"/>
      <c r="D49" s="607" t="s">
        <v>340</v>
      </c>
      <c r="E49" s="608"/>
      <c r="F49" s="534"/>
      <c r="G49" s="178"/>
    </row>
    <row r="50" spans="1:7" ht="12" customHeight="1">
      <c r="A50" s="527" t="s">
        <v>397</v>
      </c>
      <c r="B50" s="528" t="s">
        <v>17</v>
      </c>
      <c r="C50" s="529">
        <v>55</v>
      </c>
      <c r="D50" s="448">
        <f>ROUNDUP((17500*ENR!$AE$15),-2)</f>
        <v>17600</v>
      </c>
      <c r="E50" s="449">
        <f>ROUNDUP((22600*ENR!$AE$15),-2)</f>
        <v>22700</v>
      </c>
      <c r="F50" s="530"/>
      <c r="G50" s="178"/>
    </row>
    <row r="51" spans="1:7" ht="12" customHeight="1">
      <c r="A51" s="187" t="s">
        <v>398</v>
      </c>
      <c r="B51" s="522" t="s">
        <v>18</v>
      </c>
      <c r="C51" s="184">
        <v>52</v>
      </c>
      <c r="D51" s="448">
        <f>ROUNDUP((32000*ENR!$AE$15),-2)</f>
        <v>32200</v>
      </c>
      <c r="E51" s="449">
        <f>ROUNDUP((49500*ENR!$AE$15),-2)</f>
        <v>49700</v>
      </c>
      <c r="F51" s="182"/>
      <c r="G51" s="178"/>
    </row>
    <row r="52" spans="1:7" ht="12" customHeight="1">
      <c r="A52" s="187" t="s">
        <v>399</v>
      </c>
      <c r="B52" s="522" t="s">
        <v>19</v>
      </c>
      <c r="C52" s="184"/>
      <c r="D52" s="448">
        <f>ROUNDUP((4300*ENR!$AE$15),-2)</f>
        <v>4400</v>
      </c>
      <c r="E52" s="449">
        <f>ROUNDUP((6850*ENR!$AE$15),-2)</f>
        <v>6900</v>
      </c>
      <c r="F52" s="182"/>
      <c r="G52" s="178"/>
    </row>
    <row r="53" spans="1:7" ht="12" customHeight="1">
      <c r="A53" s="189"/>
      <c r="B53" s="189"/>
      <c r="C53" s="189"/>
      <c r="D53" s="447"/>
      <c r="E53" s="190"/>
      <c r="F53" s="189"/>
    </row>
  </sheetData>
  <sheetProtection algorithmName="SHA-512" hashValue="/nb7s/laEev4QoHLcdrhc5zzM8bX9QJduVFXYE+l/B13KI54TckMUOEeKV8uY2plQ13Hp8ZtrW6dQT1TNQiKvQ==" saltValue="VupMs/ZtkeUppjxZ8T8iNA==" spinCount="100000" sheet="1" scenarios="1" selectLockedCells="1" selectUnlockedCells="1"/>
  <mergeCells count="8">
    <mergeCell ref="A1:F1"/>
    <mergeCell ref="F24:F25"/>
    <mergeCell ref="D2:E2"/>
    <mergeCell ref="D49:E49"/>
    <mergeCell ref="A2:A3"/>
    <mergeCell ref="B2:B3"/>
    <mergeCell ref="C2:C3"/>
    <mergeCell ref="F2:F3"/>
  </mergeCells>
  <printOptions horizontalCentered="1"/>
  <pageMargins left="0.25" right="0.25" top="0.5" bottom="0.5" header="0.25" footer="0.25"/>
  <pageSetup orientation="portrait" horizontalDpi="4294967292" verticalDpi="4294967292" r:id="rId1"/>
  <headerFooter>
    <oddFooter>&amp;L&amp;"Arial Narrow,Regular"&amp;8&amp;K000000&amp;D&amp;C&amp;"Arial Narrow,Regular"&amp;8&amp;K000000Construction Cost Guidelines&amp;R&amp;"Arial Narrow,Regular"&amp;8&amp;K000000page &amp;P of &amp;N</oddFooter>
  </headerFooter>
  <ignoredErrors>
    <ignoredError sqref="D6:E6 D8:E8 D10:E11 D20:E20 D22:E23 D26:E26 D32:E33 D36:E36 D38:E39 D42:E42 D44:E45 D48:E48 E4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747F4-EBF5-5D43-AA66-0BA93C1D7BF1}">
  <sheetPr>
    <tabColor rgb="FF00B050"/>
  </sheetPr>
  <dimension ref="A1:H191"/>
  <sheetViews>
    <sheetView showGridLines="0" view="pageLayout" zoomScaleNormal="100" workbookViewId="0">
      <selection activeCell="B3" sqref="B3:E3"/>
    </sheetView>
  </sheetViews>
  <sheetFormatPr baseColWidth="10" defaultColWidth="8.19921875" defaultRowHeight="12"/>
  <cols>
    <col min="1" max="1" width="20" customWidth="1"/>
    <col min="2" max="2" width="18" customWidth="1"/>
    <col min="3" max="3" width="11.796875" customWidth="1"/>
    <col min="4" max="4" width="13.59765625" customWidth="1"/>
    <col min="5" max="5" width="11.796875" customWidth="1"/>
    <col min="6" max="6" width="10" customWidth="1"/>
    <col min="7" max="8" width="13.59765625" customWidth="1"/>
  </cols>
  <sheetData>
    <row r="1" spans="1:8" ht="13">
      <c r="A1" s="93" t="s">
        <v>20</v>
      </c>
      <c r="B1" s="94"/>
      <c r="C1" s="94"/>
      <c r="D1" s="94"/>
      <c r="E1" s="94"/>
      <c r="F1" s="94"/>
      <c r="G1" s="94"/>
      <c r="H1" s="95" t="str">
        <f>"PROJECT BUDGET WORKSHEET GUIDE &amp; SAMPLE"&amp;" "&amp;VERSION</f>
        <v>PROJECT BUDGET WORKSHEET GUIDE &amp; SAMPLE Rev. 2023-03</v>
      </c>
    </row>
    <row r="2" spans="1:8" ht="6" customHeight="1">
      <c r="A2" s="5"/>
      <c r="B2" s="5"/>
      <c r="C2" s="5"/>
      <c r="D2" s="5"/>
      <c r="E2" s="5"/>
      <c r="F2" s="1" t="s">
        <v>21</v>
      </c>
      <c r="G2" s="5"/>
      <c r="H2" s="5"/>
    </row>
    <row r="3" spans="1:8">
      <c r="A3" s="2" t="s">
        <v>22</v>
      </c>
      <c r="B3" s="562" t="s">
        <v>332</v>
      </c>
      <c r="C3" s="562"/>
      <c r="D3" s="562"/>
      <c r="E3" s="562"/>
      <c r="F3" s="1" t="s">
        <v>174</v>
      </c>
      <c r="G3" s="5"/>
      <c r="H3" s="48">
        <v>44896</v>
      </c>
    </row>
    <row r="4" spans="1:8">
      <c r="A4" s="2" t="s">
        <v>102</v>
      </c>
      <c r="B4" s="557" t="s">
        <v>178</v>
      </c>
      <c r="C4" s="557"/>
      <c r="D4" s="557"/>
      <c r="E4" s="557"/>
      <c r="F4" s="1" t="s">
        <v>175</v>
      </c>
      <c r="G4" s="8"/>
      <c r="H4" s="49" t="s">
        <v>4</v>
      </c>
    </row>
    <row r="5" spans="1:8" ht="13" thickBot="1">
      <c r="A5" s="11" t="s">
        <v>270</v>
      </c>
      <c r="B5" s="385" t="s">
        <v>274</v>
      </c>
      <c r="C5" s="374" t="str">
        <f>VLOOKUP(B5,PROJECTTYPE,2,FALSE)</f>
        <v>MAJOR PROJECT</v>
      </c>
      <c r="D5" s="5"/>
      <c r="E5" s="5"/>
      <c r="F5" s="5" t="s">
        <v>53</v>
      </c>
      <c r="G5" s="5"/>
      <c r="H5" s="50" t="s">
        <v>4</v>
      </c>
    </row>
    <row r="6" spans="1:8" ht="13" thickBot="1">
      <c r="A6" s="2" t="s">
        <v>103</v>
      </c>
      <c r="B6" s="557" t="s">
        <v>333</v>
      </c>
      <c r="C6" s="557"/>
      <c r="D6" s="557"/>
      <c r="E6" s="557"/>
      <c r="F6" s="2" t="s">
        <v>80</v>
      </c>
      <c r="G6" s="5"/>
      <c r="H6" s="324">
        <f>VALUE($H$179)</f>
        <v>218169000</v>
      </c>
    </row>
    <row r="7" spans="1:8" ht="6" customHeight="1">
      <c r="A7" s="5"/>
      <c r="B7" s="5"/>
      <c r="C7" s="5"/>
      <c r="D7" s="5"/>
      <c r="E7" s="5"/>
      <c r="F7" s="5"/>
      <c r="G7" s="5"/>
      <c r="H7" s="5"/>
    </row>
    <row r="8" spans="1:8">
      <c r="A8" s="2" t="s">
        <v>24</v>
      </c>
      <c r="B8" s="5"/>
      <c r="C8" s="5"/>
      <c r="D8" s="5"/>
      <c r="E8" s="5"/>
      <c r="F8" s="5"/>
      <c r="G8" s="211" t="s">
        <v>176</v>
      </c>
      <c r="H8" s="207" t="s">
        <v>177</v>
      </c>
    </row>
    <row r="9" spans="1:8">
      <c r="A9" s="1" t="s">
        <v>25</v>
      </c>
      <c r="B9" s="46">
        <f>($B$25)</f>
        <v>16665</v>
      </c>
      <c r="C9" s="5"/>
      <c r="D9" s="5"/>
      <c r="E9" s="5"/>
      <c r="F9" s="1" t="s">
        <v>62</v>
      </c>
      <c r="G9" s="414">
        <f>INDEX(ENR!$B$19:$M$99,MATCH(YEAR($H$9),ENR!$A$19:$A$99,1),MATCH(MONTH($H$9),ENR!$B$18:$M$18,1))</f>
        <v>7971.96</v>
      </c>
      <c r="H9" s="208">
        <v>44896</v>
      </c>
    </row>
    <row r="10" spans="1:8">
      <c r="A10" s="1" t="s">
        <v>26</v>
      </c>
      <c r="B10" s="47">
        <f>($D$25)</f>
        <v>25100</v>
      </c>
      <c r="C10" s="74">
        <f>IF(ISERR($B$9/$B$10),0,($B$9/$B$10))</f>
        <v>0.66394422310756973</v>
      </c>
      <c r="D10" s="5" t="s">
        <v>58</v>
      </c>
      <c r="E10" s="221" t="str">
        <f>IF($H$10&lt;$H$9,"ERROR!","")</f>
        <v/>
      </c>
      <c r="F10" s="1" t="s">
        <v>285</v>
      </c>
      <c r="G10" s="414">
        <f>INDEX(ENR!$B$19:$M$99,MATCH(YEAR($H$10),ENR!$A$19:$A$99,1),MATCH(MONTH($H$10),ENR!$B$18:$M$18,1))</f>
        <v>12482.247348584235</v>
      </c>
      <c r="H10" s="209">
        <v>46753</v>
      </c>
    </row>
    <row r="11" spans="1:8">
      <c r="A11" s="1"/>
      <c r="B11" s="3"/>
      <c r="C11" s="4"/>
      <c r="D11" s="5"/>
      <c r="E11" s="5"/>
      <c r="F11" s="1" t="s">
        <v>256</v>
      </c>
      <c r="G11" s="5"/>
      <c r="H11" s="214">
        <f>($G$10/$G$9)</f>
        <v>1.5657689387031839</v>
      </c>
    </row>
    <row r="12" spans="1:8">
      <c r="A12" s="2" t="s">
        <v>27</v>
      </c>
      <c r="B12" s="9"/>
      <c r="C12" s="8"/>
      <c r="D12" s="5"/>
      <c r="E12" s="212" t="str">
        <f>IF($H$12&lt;&gt;$H$11,"WARNING! ENR ESCALATION VALUES DO NOT MATCH!","")</f>
        <v/>
      </c>
      <c r="F12" s="1" t="s">
        <v>257</v>
      </c>
      <c r="G12" s="5"/>
      <c r="H12" s="441">
        <f>($H$11)</f>
        <v>1.5657689387031839</v>
      </c>
    </row>
    <row r="13" spans="1:8">
      <c r="A13" s="1" t="s">
        <v>29</v>
      </c>
      <c r="B13" s="46">
        <f>($D$39)</f>
        <v>50800</v>
      </c>
      <c r="C13" s="8"/>
      <c r="D13" s="5"/>
      <c r="E13" s="5"/>
      <c r="F13" s="1" t="s">
        <v>186</v>
      </c>
      <c r="G13" s="5"/>
      <c r="H13" s="214">
        <f>($H$12-$H$11)</f>
        <v>0</v>
      </c>
    </row>
    <row r="14" spans="1:8">
      <c r="A14" s="1" t="s">
        <v>30</v>
      </c>
      <c r="B14" s="47">
        <v>0</v>
      </c>
      <c r="C14" s="74">
        <f>IF(ISERR($B$13/$B$14),0,($B$13/$B$14))</f>
        <v>0</v>
      </c>
      <c r="D14" s="5" t="s">
        <v>59</v>
      </c>
      <c r="E14" s="5"/>
      <c r="F14" s="1" t="s">
        <v>173</v>
      </c>
      <c r="G14" s="210" t="str">
        <f>IF($H$179&gt;5000,((VLOOKUP($H$179,DURATION,3))/365)*(12)&amp;" months","")</f>
        <v>42 months</v>
      </c>
      <c r="H14" s="36">
        <f>IF($H$179&gt;5000,((VLOOKUP($H$179,DURATION,3))+$H$10),"")</f>
        <v>48030.5</v>
      </c>
    </row>
    <row r="15" spans="1:8" ht="6" customHeight="1" thickBot="1">
      <c r="A15" s="10"/>
      <c r="B15" s="10"/>
      <c r="C15" s="10"/>
      <c r="D15" s="10"/>
      <c r="E15" s="10"/>
      <c r="F15" s="10"/>
      <c r="G15" s="10"/>
      <c r="H15" s="10"/>
    </row>
    <row r="16" spans="1:8">
      <c r="A16" s="2" t="s">
        <v>49</v>
      </c>
      <c r="B16" s="11"/>
      <c r="C16" s="5"/>
      <c r="D16" s="5"/>
      <c r="E16" s="5"/>
      <c r="F16" s="5"/>
      <c r="G16" s="12"/>
      <c r="H16" s="5"/>
    </row>
    <row r="17" spans="1:8">
      <c r="A17" s="1" t="s">
        <v>31</v>
      </c>
      <c r="B17" s="12" t="s">
        <v>32</v>
      </c>
      <c r="C17" s="12" t="s">
        <v>33</v>
      </c>
      <c r="D17" s="14" t="s">
        <v>34</v>
      </c>
      <c r="E17" s="12" t="s">
        <v>35</v>
      </c>
      <c r="F17" s="14"/>
      <c r="G17" s="14" t="s">
        <v>1</v>
      </c>
      <c r="H17" s="5"/>
    </row>
    <row r="18" spans="1:8">
      <c r="A18" s="96" t="s">
        <v>70</v>
      </c>
      <c r="B18" s="97">
        <v>1111</v>
      </c>
      <c r="C18" s="98">
        <v>0.75</v>
      </c>
      <c r="D18" s="99">
        <f>IF($B18&gt;0,ROUND($B18/$C18,-2),0)</f>
        <v>1500</v>
      </c>
      <c r="E18" s="100">
        <v>111</v>
      </c>
      <c r="F18" s="101"/>
      <c r="G18" s="102">
        <f>ROUND($D18*$E18,-2)</f>
        <v>166500</v>
      </c>
      <c r="H18" s="5"/>
    </row>
    <row r="19" spans="1:8">
      <c r="A19" s="51" t="s">
        <v>71</v>
      </c>
      <c r="B19" s="52">
        <v>2222</v>
      </c>
      <c r="C19" s="86">
        <v>0.6</v>
      </c>
      <c r="D19" s="37">
        <f>IF($B19&gt;0,ROUND($B19/$C19,-2),0)</f>
        <v>3700</v>
      </c>
      <c r="E19" s="62">
        <v>222</v>
      </c>
      <c r="F19" s="15"/>
      <c r="G19" s="32">
        <f>ROUND($D19*$E19,-2)</f>
        <v>821400</v>
      </c>
      <c r="H19" s="5"/>
    </row>
    <row r="20" spans="1:8">
      <c r="A20" s="51" t="s">
        <v>72</v>
      </c>
      <c r="B20" s="52">
        <v>3333</v>
      </c>
      <c r="C20" s="86">
        <v>0.52</v>
      </c>
      <c r="D20" s="37">
        <f t="shared" ref="D20:D22" si="0">IF($B20&gt;0,ROUND($B20/$C20,-2),0)</f>
        <v>6400</v>
      </c>
      <c r="E20" s="62">
        <v>333</v>
      </c>
      <c r="F20" s="15"/>
      <c r="G20" s="32">
        <f t="shared" ref="G20:G22" si="1">ROUND($D20*$E20,-2)</f>
        <v>2131200</v>
      </c>
      <c r="H20" s="5"/>
    </row>
    <row r="21" spans="1:8">
      <c r="A21" s="103" t="s">
        <v>73</v>
      </c>
      <c r="B21" s="104">
        <v>4444</v>
      </c>
      <c r="C21" s="105">
        <v>0.67</v>
      </c>
      <c r="D21" s="106">
        <f t="shared" si="0"/>
        <v>6600</v>
      </c>
      <c r="E21" s="107">
        <v>444</v>
      </c>
      <c r="F21" s="108"/>
      <c r="G21" s="109">
        <f t="shared" si="1"/>
        <v>2930400</v>
      </c>
      <c r="H21" s="5"/>
    </row>
    <row r="22" spans="1:8">
      <c r="A22" s="51" t="s">
        <v>74</v>
      </c>
      <c r="B22" s="52">
        <v>5555</v>
      </c>
      <c r="C22" s="86">
        <v>0.8</v>
      </c>
      <c r="D22" s="37">
        <f t="shared" si="0"/>
        <v>6900</v>
      </c>
      <c r="E22" s="62">
        <v>555</v>
      </c>
      <c r="F22" s="15"/>
      <c r="G22" s="32">
        <f t="shared" si="1"/>
        <v>3829500</v>
      </c>
      <c r="H22" s="5"/>
    </row>
    <row r="23" spans="1:8">
      <c r="A23" s="51" t="s">
        <v>52</v>
      </c>
      <c r="B23" s="52">
        <v>0</v>
      </c>
      <c r="C23" s="86">
        <v>0</v>
      </c>
      <c r="D23" s="37">
        <f>IF($B23&gt;0,ROUND($B23/$C23,-2),0)</f>
        <v>0</v>
      </c>
      <c r="E23" s="62">
        <v>0</v>
      </c>
      <c r="F23" s="15"/>
      <c r="G23" s="32">
        <f>ROUND($D23*$E23,-2)</f>
        <v>0</v>
      </c>
      <c r="H23" s="5"/>
    </row>
    <row r="24" spans="1:8">
      <c r="A24" s="110" t="s">
        <v>52</v>
      </c>
      <c r="B24" s="111">
        <v>0</v>
      </c>
      <c r="C24" s="112">
        <v>0</v>
      </c>
      <c r="D24" s="99">
        <f>IF($B24&gt;0,ROUND($B24/$C24,-2),0)</f>
        <v>0</v>
      </c>
      <c r="E24" s="113">
        <v>0</v>
      </c>
      <c r="F24" s="101"/>
      <c r="G24" s="102">
        <f>ROUND($D24*$E24,-2)</f>
        <v>0</v>
      </c>
      <c r="H24" s="5"/>
    </row>
    <row r="25" spans="1:8">
      <c r="A25" s="5"/>
      <c r="B25" s="28">
        <f>SUM(B$18:B$24)</f>
        <v>16665</v>
      </c>
      <c r="C25" s="3"/>
      <c r="D25" s="28">
        <f>SUM(D$18:D$24)</f>
        <v>25100</v>
      </c>
      <c r="E25" s="32"/>
      <c r="F25" s="1" t="s">
        <v>36</v>
      </c>
      <c r="G25" s="32">
        <f>ROUND(SUM(G$18:G$24),-3)</f>
        <v>9879000</v>
      </c>
      <c r="H25" s="5"/>
    </row>
    <row r="26" spans="1:8">
      <c r="A26" s="5" t="s">
        <v>139</v>
      </c>
      <c r="B26" s="3"/>
      <c r="C26" s="3"/>
      <c r="D26" s="3"/>
      <c r="E26" s="3"/>
      <c r="F26" s="1"/>
      <c r="G26" s="3"/>
      <c r="H26" s="132">
        <f>($G$25)</f>
        <v>9879000</v>
      </c>
    </row>
    <row r="27" spans="1:8" ht="6" customHeight="1">
      <c r="A27" s="5"/>
      <c r="B27" s="3"/>
      <c r="C27" s="3"/>
      <c r="D27" s="3"/>
      <c r="E27" s="3"/>
      <c r="F27" s="1"/>
      <c r="G27" s="3"/>
      <c r="H27" s="16"/>
    </row>
    <row r="28" spans="1:8">
      <c r="A28" s="2" t="s">
        <v>50</v>
      </c>
      <c r="B28" s="11"/>
      <c r="C28" s="5"/>
      <c r="D28" s="5"/>
      <c r="E28" s="5"/>
      <c r="F28" s="5"/>
      <c r="G28" s="12"/>
      <c r="H28" s="5"/>
    </row>
    <row r="29" spans="1:8">
      <c r="A29" s="1" t="s">
        <v>31</v>
      </c>
      <c r="B29" s="12" t="s">
        <v>32</v>
      </c>
      <c r="C29" s="12" t="s">
        <v>33</v>
      </c>
      <c r="D29" s="14" t="s">
        <v>34</v>
      </c>
      <c r="E29" s="12" t="s">
        <v>35</v>
      </c>
      <c r="F29" s="14"/>
      <c r="G29" s="14" t="s">
        <v>1</v>
      </c>
      <c r="H29" s="5"/>
    </row>
    <row r="30" spans="1:8">
      <c r="A30" s="96" t="s">
        <v>71</v>
      </c>
      <c r="B30" s="97">
        <v>6666</v>
      </c>
      <c r="C30" s="98">
        <v>0.6</v>
      </c>
      <c r="D30" s="99">
        <f>IF($B30&gt;0,ROUND($B30/$C30,-2),0)</f>
        <v>11100</v>
      </c>
      <c r="E30" s="100">
        <v>666</v>
      </c>
      <c r="F30" s="101"/>
      <c r="G30" s="102">
        <f>ROUND($D30*$E30,-2)</f>
        <v>7392600</v>
      </c>
      <c r="H30" s="5"/>
    </row>
    <row r="31" spans="1:8">
      <c r="A31" s="51" t="s">
        <v>72</v>
      </c>
      <c r="B31" s="52">
        <v>7777</v>
      </c>
      <c r="C31" s="86">
        <v>0.52</v>
      </c>
      <c r="D31" s="37">
        <f>IF($B31&gt;0,ROUND($B31/$C31,-2),0)</f>
        <v>15000</v>
      </c>
      <c r="E31" s="62">
        <v>777</v>
      </c>
      <c r="F31" s="15"/>
      <c r="G31" s="32">
        <f>ROUND($D31*$E31,-2)</f>
        <v>11655000</v>
      </c>
      <c r="H31" s="5"/>
    </row>
    <row r="32" spans="1:8">
      <c r="A32" s="51" t="s">
        <v>73</v>
      </c>
      <c r="B32" s="52">
        <v>8888</v>
      </c>
      <c r="C32" s="86">
        <v>0.67</v>
      </c>
      <c r="D32" s="37">
        <f t="shared" ref="D32:D35" si="2">IF($B32&gt;0,ROUND($B32/$C32,-2),0)</f>
        <v>13300</v>
      </c>
      <c r="E32" s="62">
        <v>888</v>
      </c>
      <c r="F32" s="15"/>
      <c r="G32" s="32">
        <f t="shared" ref="G32:G35" si="3">ROUND($D32*$E32,-2)</f>
        <v>11810400</v>
      </c>
      <c r="H32" s="5"/>
    </row>
    <row r="33" spans="1:8">
      <c r="A33" s="51" t="s">
        <v>201</v>
      </c>
      <c r="B33" s="52">
        <v>9999</v>
      </c>
      <c r="C33" s="86">
        <v>0.88</v>
      </c>
      <c r="D33" s="37">
        <f t="shared" si="2"/>
        <v>11400</v>
      </c>
      <c r="E33" s="62">
        <v>999</v>
      </c>
      <c r="F33" s="15"/>
      <c r="G33" s="32">
        <f t="shared" si="3"/>
        <v>11388600</v>
      </c>
      <c r="H33" s="5"/>
    </row>
    <row r="34" spans="1:8">
      <c r="A34" s="103" t="s">
        <v>52</v>
      </c>
      <c r="B34" s="104">
        <v>0</v>
      </c>
      <c r="C34" s="105">
        <v>0</v>
      </c>
      <c r="D34" s="106">
        <f t="shared" si="2"/>
        <v>0</v>
      </c>
      <c r="E34" s="107">
        <v>0</v>
      </c>
      <c r="F34" s="108"/>
      <c r="G34" s="109">
        <f t="shared" si="3"/>
        <v>0</v>
      </c>
      <c r="H34" s="5"/>
    </row>
    <row r="35" spans="1:8">
      <c r="A35" s="51" t="s">
        <v>52</v>
      </c>
      <c r="B35" s="52">
        <v>0</v>
      </c>
      <c r="C35" s="86">
        <v>0</v>
      </c>
      <c r="D35" s="37">
        <f t="shared" si="2"/>
        <v>0</v>
      </c>
      <c r="E35" s="62">
        <v>0</v>
      </c>
      <c r="F35" s="15"/>
      <c r="G35" s="32">
        <f t="shared" si="3"/>
        <v>0</v>
      </c>
      <c r="H35" s="5"/>
    </row>
    <row r="36" spans="1:8">
      <c r="A36" s="51" t="s">
        <v>52</v>
      </c>
      <c r="B36" s="52">
        <v>0</v>
      </c>
      <c r="C36" s="86">
        <v>0</v>
      </c>
      <c r="D36" s="37">
        <f>IF($B36&gt;0,ROUND($B36/$C36,-2),0)</f>
        <v>0</v>
      </c>
      <c r="E36" s="62">
        <v>0</v>
      </c>
      <c r="F36" s="15"/>
      <c r="G36" s="32">
        <f>ROUND($D36*$E36,-2)</f>
        <v>0</v>
      </c>
      <c r="H36" s="5"/>
    </row>
    <row r="37" spans="1:8">
      <c r="A37" s="51" t="s">
        <v>52</v>
      </c>
      <c r="B37" s="52">
        <v>0</v>
      </c>
      <c r="C37" s="86">
        <v>0</v>
      </c>
      <c r="D37" s="37">
        <f>IF($B37&gt;0,ROUND($B37/$C37,-2),0)</f>
        <v>0</v>
      </c>
      <c r="E37" s="62">
        <v>0</v>
      </c>
      <c r="F37" s="15"/>
      <c r="G37" s="32">
        <f>ROUND($D37*$E37,-2)</f>
        <v>0</v>
      </c>
      <c r="H37" s="5"/>
    </row>
    <row r="38" spans="1:8">
      <c r="A38" s="110" t="s">
        <v>52</v>
      </c>
      <c r="B38" s="111">
        <v>0</v>
      </c>
      <c r="C38" s="112">
        <v>0</v>
      </c>
      <c r="D38" s="99">
        <f>IF($B38&gt;0,ROUND($B38/$C38,-2),0)</f>
        <v>0</v>
      </c>
      <c r="E38" s="113">
        <v>0</v>
      </c>
      <c r="F38" s="101"/>
      <c r="G38" s="102">
        <f>ROUND($D38*$E38,-2)</f>
        <v>0</v>
      </c>
      <c r="H38" s="5"/>
    </row>
    <row r="39" spans="1:8">
      <c r="A39" s="5"/>
      <c r="B39" s="28">
        <f>SUM(B$30:B$38)</f>
        <v>33330</v>
      </c>
      <c r="C39" s="3"/>
      <c r="D39" s="28">
        <f>SUM(D$30:D$38)</f>
        <v>50800</v>
      </c>
      <c r="E39" s="3"/>
      <c r="F39" s="1" t="s">
        <v>36</v>
      </c>
      <c r="G39" s="32">
        <f>ROUND(SUM(G$30:G$38),-3)</f>
        <v>42247000</v>
      </c>
      <c r="H39" s="132">
        <f>($G$39)</f>
        <v>42247000</v>
      </c>
    </row>
    <row r="40" spans="1:8">
      <c r="A40" s="11" t="s">
        <v>51</v>
      </c>
      <c r="B40" s="3"/>
      <c r="C40" s="3"/>
      <c r="D40" s="3"/>
      <c r="E40" s="3"/>
      <c r="F40" s="5"/>
      <c r="G40" s="12"/>
      <c r="H40" s="3"/>
    </row>
    <row r="41" spans="1:8">
      <c r="A41" s="13" t="s">
        <v>37</v>
      </c>
      <c r="B41" s="5"/>
      <c r="C41" s="5"/>
      <c r="D41" s="14" t="s">
        <v>34</v>
      </c>
      <c r="E41" s="14" t="s">
        <v>35</v>
      </c>
      <c r="F41" s="14" t="s">
        <v>141</v>
      </c>
      <c r="G41" s="14" t="s">
        <v>0</v>
      </c>
      <c r="H41" s="5"/>
    </row>
    <row r="42" spans="1:8">
      <c r="A42" s="114" t="s">
        <v>38</v>
      </c>
      <c r="B42" s="115" t="s">
        <v>87</v>
      </c>
      <c r="C42" s="116"/>
      <c r="D42" s="116"/>
      <c r="E42" s="116"/>
      <c r="F42" s="116"/>
      <c r="G42" s="116"/>
      <c r="H42" s="5"/>
    </row>
    <row r="43" spans="1:8">
      <c r="A43" s="1" t="s">
        <v>39</v>
      </c>
      <c r="B43" s="557" t="s">
        <v>286</v>
      </c>
      <c r="C43" s="558"/>
      <c r="D43" s="53">
        <v>8888</v>
      </c>
      <c r="E43" s="63">
        <v>2.29</v>
      </c>
      <c r="F43" s="65">
        <f>ROUNDUP((10*ENR!$S$15),0)</f>
        <v>16</v>
      </c>
      <c r="G43" s="32">
        <f>ROUND($D43*$E43,-2)</f>
        <v>20400</v>
      </c>
      <c r="H43" s="45"/>
    </row>
    <row r="44" spans="1:8">
      <c r="A44" s="1" t="s">
        <v>40</v>
      </c>
      <c r="B44" s="557" t="s">
        <v>101</v>
      </c>
      <c r="C44" s="558"/>
      <c r="D44" s="54">
        <v>0</v>
      </c>
      <c r="E44" s="64">
        <f t="shared" ref="E44:E46" si="4">($F44)</f>
        <v>56</v>
      </c>
      <c r="F44" s="65">
        <f>ROUNDUP((35*ENR!$S$15),0)</f>
        <v>56</v>
      </c>
      <c r="G44" s="32">
        <f>ROUND($D44*$E44,-2)</f>
        <v>0</v>
      </c>
      <c r="H44" s="5"/>
    </row>
    <row r="45" spans="1:8">
      <c r="A45" s="1" t="s">
        <v>41</v>
      </c>
      <c r="B45" s="557" t="s">
        <v>101</v>
      </c>
      <c r="C45" s="558"/>
      <c r="D45" s="54">
        <v>8888</v>
      </c>
      <c r="E45" s="64">
        <f t="shared" si="4"/>
        <v>92</v>
      </c>
      <c r="F45" s="65">
        <f>ROUNDUP((58.5*ENR!$S$15),0)</f>
        <v>92</v>
      </c>
      <c r="G45" s="32">
        <f>ROUND($D45*$E45,-2)</f>
        <v>817700</v>
      </c>
      <c r="H45" s="5"/>
    </row>
    <row r="46" spans="1:8">
      <c r="A46" s="1" t="s">
        <v>42</v>
      </c>
      <c r="B46" s="557" t="s">
        <v>101</v>
      </c>
      <c r="C46" s="558"/>
      <c r="D46" s="55">
        <v>0</v>
      </c>
      <c r="E46" s="378">
        <f t="shared" si="4"/>
        <v>111</v>
      </c>
      <c r="F46" s="65">
        <f>ROUNDUP((70*ENR!$S$15),0)</f>
        <v>111</v>
      </c>
      <c r="G46" s="32">
        <f>ROUND($D46*$E46,-2)</f>
        <v>0</v>
      </c>
      <c r="H46" s="5"/>
    </row>
    <row r="47" spans="1:8">
      <c r="A47" s="114" t="s">
        <v>43</v>
      </c>
      <c r="B47" s="116"/>
      <c r="C47" s="116"/>
      <c r="D47" s="117"/>
      <c r="E47" s="118"/>
      <c r="F47" s="118"/>
      <c r="G47" s="119"/>
      <c r="H47" s="5"/>
    </row>
    <row r="48" spans="1:8">
      <c r="A48" s="1" t="s">
        <v>40</v>
      </c>
      <c r="B48" s="557" t="s">
        <v>101</v>
      </c>
      <c r="C48" s="558"/>
      <c r="D48" s="53">
        <v>0</v>
      </c>
      <c r="E48" s="63">
        <f t="shared" ref="E48:E51" si="5">($F48)</f>
        <v>18</v>
      </c>
      <c r="F48" s="65">
        <f>ROUNDUP((11.25*ENR!$S$15),0)</f>
        <v>18</v>
      </c>
      <c r="G48" s="32">
        <f>ROUND($D48*$E48,-2)</f>
        <v>0</v>
      </c>
      <c r="H48" s="5"/>
    </row>
    <row r="49" spans="1:8">
      <c r="A49" s="1" t="s">
        <v>41</v>
      </c>
      <c r="B49" s="557" t="s">
        <v>287</v>
      </c>
      <c r="C49" s="558"/>
      <c r="D49" s="54">
        <v>8888</v>
      </c>
      <c r="E49" s="64">
        <v>29.29</v>
      </c>
      <c r="F49" s="65">
        <f>ROUNDUP((19.5*ENR!$S$15),0)</f>
        <v>31</v>
      </c>
      <c r="G49" s="32">
        <f>ROUND($D49*$E49,-2)</f>
        <v>260300</v>
      </c>
      <c r="H49" s="5"/>
    </row>
    <row r="50" spans="1:8">
      <c r="A50" s="1" t="s">
        <v>42</v>
      </c>
      <c r="B50" s="557" t="s">
        <v>101</v>
      </c>
      <c r="C50" s="558"/>
      <c r="D50" s="54">
        <v>0</v>
      </c>
      <c r="E50" s="64">
        <f t="shared" si="5"/>
        <v>35</v>
      </c>
      <c r="F50" s="65">
        <f>ROUNDUP((22*ENR!$S$15),0)</f>
        <v>35</v>
      </c>
      <c r="G50" s="32">
        <f>ROUND($D50*$E50,-2)</f>
        <v>0</v>
      </c>
      <c r="H50" s="5"/>
    </row>
    <row r="51" spans="1:8">
      <c r="A51" s="1" t="s">
        <v>44</v>
      </c>
      <c r="B51" s="557" t="s">
        <v>101</v>
      </c>
      <c r="C51" s="558"/>
      <c r="D51" s="55">
        <v>0</v>
      </c>
      <c r="E51" s="378">
        <f t="shared" si="5"/>
        <v>66</v>
      </c>
      <c r="F51" s="65">
        <f>ROUNDUP((41.5*ENR!$S$15),0)</f>
        <v>66</v>
      </c>
      <c r="G51" s="32">
        <f>ROUND($D51*$E51,-2)</f>
        <v>0</v>
      </c>
      <c r="H51" s="5"/>
    </row>
    <row r="52" spans="1:8">
      <c r="A52" s="114" t="s">
        <v>48</v>
      </c>
      <c r="B52" s="116"/>
      <c r="C52" s="116"/>
      <c r="D52" s="117"/>
      <c r="E52" s="118"/>
      <c r="F52" s="118"/>
      <c r="G52" s="119"/>
      <c r="H52" s="5"/>
    </row>
    <row r="53" spans="1:8">
      <c r="A53" s="1" t="s">
        <v>40</v>
      </c>
      <c r="B53" s="557" t="s">
        <v>101</v>
      </c>
      <c r="C53" s="558"/>
      <c r="D53" s="53">
        <v>0</v>
      </c>
      <c r="E53" s="63">
        <f t="shared" ref="E53:E55" si="6">($F53)</f>
        <v>24</v>
      </c>
      <c r="F53" s="65">
        <f>ROUNDUP((15*ENR!$S$15),0)</f>
        <v>24</v>
      </c>
      <c r="G53" s="32">
        <f>ROUND($D53*$E53,-2)</f>
        <v>0</v>
      </c>
      <c r="H53" s="5"/>
    </row>
    <row r="54" spans="1:8">
      <c r="A54" s="1" t="s">
        <v>41</v>
      </c>
      <c r="B54" s="557" t="s">
        <v>101</v>
      </c>
      <c r="C54" s="558"/>
      <c r="D54" s="54">
        <v>0</v>
      </c>
      <c r="E54" s="64">
        <f t="shared" si="6"/>
        <v>51</v>
      </c>
      <c r="F54" s="65">
        <f>ROUNDUP((32*ENR!$S$15),0)</f>
        <v>51</v>
      </c>
      <c r="G54" s="32">
        <f>ROUND($D54*$E54,-2)</f>
        <v>0</v>
      </c>
      <c r="H54" s="5"/>
    </row>
    <row r="55" spans="1:8">
      <c r="A55" s="1" t="s">
        <v>42</v>
      </c>
      <c r="B55" s="557" t="s">
        <v>101</v>
      </c>
      <c r="C55" s="558"/>
      <c r="D55" s="55">
        <v>88888</v>
      </c>
      <c r="E55" s="378">
        <f t="shared" si="6"/>
        <v>76</v>
      </c>
      <c r="F55" s="65">
        <f>ROUNDUP((48*ENR!$S$15),0)</f>
        <v>76</v>
      </c>
      <c r="G55" s="32">
        <f>ROUND($D55*$E55,-2)</f>
        <v>6755500</v>
      </c>
      <c r="H55" s="5"/>
    </row>
    <row r="56" spans="1:8">
      <c r="A56" s="114" t="s">
        <v>45</v>
      </c>
      <c r="B56" s="116"/>
      <c r="C56" s="116"/>
      <c r="D56" s="117"/>
      <c r="E56" s="118"/>
      <c r="F56" s="118"/>
      <c r="G56" s="119"/>
      <c r="H56" s="5"/>
    </row>
    <row r="57" spans="1:8">
      <c r="A57" s="1" t="s">
        <v>40</v>
      </c>
      <c r="B57" s="557" t="s">
        <v>101</v>
      </c>
      <c r="C57" s="558"/>
      <c r="D57" s="53">
        <v>0</v>
      </c>
      <c r="E57" s="63">
        <f t="shared" ref="E57:E59" si="7">($F57)</f>
        <v>19</v>
      </c>
      <c r="F57" s="65">
        <f>ROUNDUP((12*ENR!$S$15),0)</f>
        <v>19</v>
      </c>
      <c r="G57" s="32">
        <f>ROUND($D57*$E57,-2)</f>
        <v>0</v>
      </c>
      <c r="H57" s="5"/>
    </row>
    <row r="58" spans="1:8">
      <c r="A58" s="1" t="s">
        <v>41</v>
      </c>
      <c r="B58" s="557" t="s">
        <v>101</v>
      </c>
      <c r="C58" s="558"/>
      <c r="D58" s="54">
        <v>0</v>
      </c>
      <c r="E58" s="64">
        <f t="shared" si="7"/>
        <v>34</v>
      </c>
      <c r="F58" s="65">
        <f>ROUNDUP((21*ENR!$S$15),0)</f>
        <v>34</v>
      </c>
      <c r="G58" s="32">
        <f>ROUND($D58*$E58,-2)</f>
        <v>0</v>
      </c>
      <c r="H58" s="5"/>
    </row>
    <row r="59" spans="1:8">
      <c r="A59" s="1" t="s">
        <v>42</v>
      </c>
      <c r="B59" s="557" t="s">
        <v>101</v>
      </c>
      <c r="C59" s="558"/>
      <c r="D59" s="55">
        <v>88888</v>
      </c>
      <c r="E59" s="378">
        <f t="shared" si="7"/>
        <v>43</v>
      </c>
      <c r="F59" s="65">
        <f>ROUNDUP((27*ENR!$S$15),0)</f>
        <v>43</v>
      </c>
      <c r="G59" s="32">
        <f>ROUND($D59*$E59,-2)</f>
        <v>3822200</v>
      </c>
      <c r="H59" s="5"/>
    </row>
    <row r="60" spans="1:8">
      <c r="A60" s="5"/>
      <c r="B60" s="5"/>
      <c r="C60" s="5"/>
      <c r="D60" s="5"/>
      <c r="E60" s="5"/>
      <c r="F60" s="1" t="s">
        <v>36</v>
      </c>
      <c r="G60" s="28">
        <f>ROUND(SUM(G$43:G$46,G$48:G$51,G$53:G$55,G$57:G$59),-3)</f>
        <v>11676000</v>
      </c>
      <c r="H60" s="5"/>
    </row>
    <row r="61" spans="1:8">
      <c r="A61" s="5" t="s">
        <v>183</v>
      </c>
      <c r="B61" s="5"/>
      <c r="C61" s="5"/>
      <c r="D61" s="5"/>
      <c r="E61" s="5"/>
      <c r="F61" s="1"/>
      <c r="G61" s="222" t="str">
        <f>IF(AND($G$39&gt;0,$G$60&gt;0),"ERROR?","")</f>
        <v>ERROR?</v>
      </c>
      <c r="H61" s="132">
        <f>($G$60)</f>
        <v>11676000</v>
      </c>
    </row>
    <row r="62" spans="1:8" ht="6" customHeight="1" thickBot="1">
      <c r="A62" s="5"/>
      <c r="B62" s="5"/>
      <c r="C62" s="5"/>
      <c r="D62" s="5"/>
      <c r="E62" s="5"/>
      <c r="F62" s="1"/>
      <c r="G62" s="3"/>
      <c r="H62" s="5"/>
    </row>
    <row r="63" spans="1:8" ht="13" thickBot="1">
      <c r="A63" s="129" t="s">
        <v>138</v>
      </c>
      <c r="B63" s="123"/>
      <c r="C63" s="123"/>
      <c r="D63" s="123"/>
      <c r="E63" s="123"/>
      <c r="F63" s="123"/>
      <c r="G63" s="124"/>
      <c r="H63" s="324">
        <f>ROUND(($H$26+$H$39+$H$61),-3)</f>
        <v>63802000</v>
      </c>
    </row>
    <row r="64" spans="1:8">
      <c r="A64" s="5" t="str">
        <f>A3</f>
        <v xml:space="preserve">PROJECT TITLE:  </v>
      </c>
      <c r="B64" s="11" t="str">
        <f>IF($B$3="","",$B$3)</f>
        <v>OLD MAIN MEMORIAL HALL ADDITION &amp; RENOVATION - PHASE VIII</v>
      </c>
      <c r="C64" s="5"/>
      <c r="D64" s="5"/>
      <c r="E64" s="5"/>
      <c r="F64" s="5"/>
      <c r="G64" s="5"/>
      <c r="H64" s="5"/>
    </row>
    <row r="65" spans="1:8">
      <c r="A65" s="1" t="str">
        <f>((A63)&amp;" (from page 1)")</f>
        <v>NEW CONSTRUCTION &amp; REMODELING COST SUBTOTAL (from page 1)</v>
      </c>
      <c r="B65" s="5"/>
      <c r="C65" s="5"/>
      <c r="D65" s="11"/>
      <c r="E65" s="11"/>
      <c r="F65" s="11"/>
      <c r="G65" s="12"/>
      <c r="H65" s="32">
        <f>VALUE($H$63)</f>
        <v>63802000</v>
      </c>
    </row>
    <row r="66" spans="1:8">
      <c r="A66" s="2" t="s">
        <v>79</v>
      </c>
      <c r="B66" s="5"/>
      <c r="C66" s="5"/>
      <c r="D66" s="11"/>
      <c r="E66" s="11"/>
      <c r="F66" s="11"/>
      <c r="G66" s="2"/>
      <c r="H66" s="17"/>
    </row>
    <row r="67" spans="1:8" ht="6" customHeight="1">
      <c r="A67" s="5"/>
      <c r="B67" s="5"/>
      <c r="C67" s="5"/>
      <c r="D67" s="5"/>
      <c r="E67" s="5"/>
      <c r="F67" s="5"/>
      <c r="G67" s="5"/>
      <c r="H67" s="5"/>
    </row>
    <row r="68" spans="1:8">
      <c r="A68" s="13" t="s">
        <v>85</v>
      </c>
      <c r="B68" s="563" t="s">
        <v>86</v>
      </c>
      <c r="C68" s="563"/>
      <c r="D68" s="563"/>
      <c r="E68" s="38" t="s">
        <v>63</v>
      </c>
      <c r="F68" s="38" t="s">
        <v>66</v>
      </c>
      <c r="G68" s="38" t="s">
        <v>64</v>
      </c>
      <c r="H68" s="34" t="s">
        <v>65</v>
      </c>
    </row>
    <row r="69" spans="1:8">
      <c r="A69" s="44" t="s">
        <v>82</v>
      </c>
      <c r="B69" s="564" t="s">
        <v>140</v>
      </c>
      <c r="C69" s="564"/>
      <c r="D69" s="564"/>
      <c r="E69" s="56">
        <v>88888</v>
      </c>
      <c r="F69" s="59" t="s">
        <v>34</v>
      </c>
      <c r="G69" s="146">
        <f>(15*ENR!$Y$15)</f>
        <v>19.8000963112143</v>
      </c>
      <c r="H69" s="133">
        <f>ROUND(($E69*$G69),-3)</f>
        <v>1760000</v>
      </c>
    </row>
    <row r="70" spans="1:8">
      <c r="A70" s="39"/>
      <c r="B70" s="40"/>
      <c r="C70" s="40"/>
      <c r="D70" s="40"/>
      <c r="E70" s="41"/>
      <c r="F70" s="42"/>
      <c r="G70" s="43"/>
      <c r="H70" s="28"/>
    </row>
    <row r="71" spans="1:8">
      <c r="A71" s="559" t="s">
        <v>156</v>
      </c>
      <c r="B71" s="560"/>
      <c r="C71" s="560"/>
      <c r="D71" s="560"/>
      <c r="E71" s="560"/>
      <c r="F71" s="560"/>
      <c r="G71" s="561"/>
      <c r="H71" s="60"/>
    </row>
    <row r="72" spans="1:8">
      <c r="A72" s="167" t="s">
        <v>179</v>
      </c>
      <c r="B72" s="552"/>
      <c r="C72" s="552"/>
      <c r="D72" s="552"/>
      <c r="E72" s="155"/>
      <c r="F72" s="130"/>
      <c r="G72" s="161"/>
      <c r="H72" s="60">
        <f t="shared" ref="H72:H105" si="8">ROUND(($E72*$G72),-2)</f>
        <v>0</v>
      </c>
    </row>
    <row r="73" spans="1:8">
      <c r="A73" s="168"/>
      <c r="B73" s="552" t="s">
        <v>88</v>
      </c>
      <c r="C73" s="552"/>
      <c r="D73" s="552"/>
      <c r="E73" s="155">
        <v>8</v>
      </c>
      <c r="F73" s="130" t="s">
        <v>148</v>
      </c>
      <c r="G73" s="161">
        <v>888</v>
      </c>
      <c r="H73" s="60">
        <f t="shared" si="8"/>
        <v>7100</v>
      </c>
    </row>
    <row r="74" spans="1:8">
      <c r="A74" s="169"/>
      <c r="B74" s="552" t="s">
        <v>89</v>
      </c>
      <c r="C74" s="552"/>
      <c r="D74" s="552"/>
      <c r="E74" s="155">
        <v>88</v>
      </c>
      <c r="F74" s="130" t="s">
        <v>145</v>
      </c>
      <c r="G74" s="161">
        <v>88</v>
      </c>
      <c r="H74" s="60">
        <f t="shared" si="8"/>
        <v>7700</v>
      </c>
    </row>
    <row r="75" spans="1:8">
      <c r="A75" s="169"/>
      <c r="B75" s="552" t="s">
        <v>90</v>
      </c>
      <c r="C75" s="552"/>
      <c r="D75" s="552"/>
      <c r="E75" s="155">
        <v>888</v>
      </c>
      <c r="F75" s="130" t="s">
        <v>68</v>
      </c>
      <c r="G75" s="161">
        <v>8</v>
      </c>
      <c r="H75" s="60">
        <f t="shared" si="8"/>
        <v>7100</v>
      </c>
    </row>
    <row r="76" spans="1:8">
      <c r="A76" s="170" t="s">
        <v>180</v>
      </c>
      <c r="B76" s="554"/>
      <c r="C76" s="555"/>
      <c r="D76" s="556"/>
      <c r="E76" s="156"/>
      <c r="F76" s="120"/>
      <c r="G76" s="162"/>
      <c r="H76" s="60">
        <f t="shared" si="8"/>
        <v>0</v>
      </c>
    </row>
    <row r="77" spans="1:8">
      <c r="A77" s="168"/>
      <c r="B77" s="551" t="s">
        <v>181</v>
      </c>
      <c r="C77" s="552"/>
      <c r="D77" s="553"/>
      <c r="E77" s="155">
        <v>8</v>
      </c>
      <c r="F77" s="130" t="s">
        <v>32</v>
      </c>
      <c r="G77" s="161">
        <v>8888</v>
      </c>
      <c r="H77" s="60">
        <f t="shared" si="8"/>
        <v>71100</v>
      </c>
    </row>
    <row r="78" spans="1:8">
      <c r="A78" s="169"/>
      <c r="B78" s="551" t="s">
        <v>91</v>
      </c>
      <c r="C78" s="552"/>
      <c r="D78" s="553"/>
      <c r="E78" s="155">
        <v>88</v>
      </c>
      <c r="F78" s="130" t="s">
        <v>34</v>
      </c>
      <c r="G78" s="161">
        <v>888</v>
      </c>
      <c r="H78" s="60">
        <f t="shared" si="8"/>
        <v>78100</v>
      </c>
    </row>
    <row r="79" spans="1:8">
      <c r="A79" s="168"/>
      <c r="B79" s="551" t="s">
        <v>92</v>
      </c>
      <c r="C79" s="552"/>
      <c r="D79" s="553"/>
      <c r="E79" s="155">
        <v>888</v>
      </c>
      <c r="F79" s="130" t="s">
        <v>294</v>
      </c>
      <c r="G79" s="161">
        <v>88</v>
      </c>
      <c r="H79" s="60">
        <f t="shared" si="8"/>
        <v>78100</v>
      </c>
    </row>
    <row r="80" spans="1:8">
      <c r="A80" s="168"/>
      <c r="B80" s="551" t="s">
        <v>289</v>
      </c>
      <c r="C80" s="552"/>
      <c r="D80" s="553"/>
      <c r="E80" s="155">
        <v>8888</v>
      </c>
      <c r="F80" s="130" t="s">
        <v>295</v>
      </c>
      <c r="G80" s="161">
        <v>8</v>
      </c>
      <c r="H80" s="60">
        <f t="shared" si="8"/>
        <v>71100</v>
      </c>
    </row>
    <row r="81" spans="1:8">
      <c r="A81" s="171" t="s">
        <v>334</v>
      </c>
      <c r="B81" s="554"/>
      <c r="C81" s="555"/>
      <c r="D81" s="556"/>
      <c r="E81" s="156"/>
      <c r="F81" s="120"/>
      <c r="G81" s="162"/>
      <c r="H81" s="60">
        <f t="shared" si="8"/>
        <v>0</v>
      </c>
    </row>
    <row r="82" spans="1:8">
      <c r="A82" s="169"/>
      <c r="B82" s="551" t="s">
        <v>290</v>
      </c>
      <c r="C82" s="552"/>
      <c r="D82" s="553"/>
      <c r="E82" s="155">
        <v>8</v>
      </c>
      <c r="F82" s="130" t="s">
        <v>148</v>
      </c>
      <c r="G82" s="161">
        <v>8888</v>
      </c>
      <c r="H82" s="60">
        <f t="shared" si="8"/>
        <v>71100</v>
      </c>
    </row>
    <row r="83" spans="1:8">
      <c r="A83" s="169"/>
      <c r="B83" s="551" t="s">
        <v>291</v>
      </c>
      <c r="C83" s="552"/>
      <c r="D83" s="553"/>
      <c r="E83" s="155">
        <v>88</v>
      </c>
      <c r="F83" s="130" t="s">
        <v>32</v>
      </c>
      <c r="G83" s="161">
        <v>888</v>
      </c>
      <c r="H83" s="60">
        <f t="shared" si="8"/>
        <v>78100</v>
      </c>
    </row>
    <row r="84" spans="1:8">
      <c r="A84" s="169"/>
      <c r="B84" s="551" t="s">
        <v>292</v>
      </c>
      <c r="C84" s="552"/>
      <c r="D84" s="553"/>
      <c r="E84" s="155">
        <v>888</v>
      </c>
      <c r="F84" s="130" t="s">
        <v>34</v>
      </c>
      <c r="G84" s="161">
        <v>88</v>
      </c>
      <c r="H84" s="60">
        <f t="shared" si="8"/>
        <v>78100</v>
      </c>
    </row>
    <row r="85" spans="1:8">
      <c r="A85" s="169"/>
      <c r="B85" s="551" t="s">
        <v>293</v>
      </c>
      <c r="C85" s="552"/>
      <c r="D85" s="553"/>
      <c r="E85" s="155">
        <v>8888</v>
      </c>
      <c r="F85" s="130" t="s">
        <v>68</v>
      </c>
      <c r="G85" s="161">
        <v>8</v>
      </c>
      <c r="H85" s="60">
        <f t="shared" si="8"/>
        <v>71100</v>
      </c>
    </row>
    <row r="86" spans="1:8">
      <c r="A86" s="171"/>
      <c r="B86" s="554"/>
      <c r="C86" s="555"/>
      <c r="D86" s="556"/>
      <c r="E86" s="156"/>
      <c r="F86" s="120"/>
      <c r="G86" s="162"/>
      <c r="H86" s="60">
        <f t="shared" si="8"/>
        <v>0</v>
      </c>
    </row>
    <row r="87" spans="1:8">
      <c r="A87" s="169"/>
      <c r="B87" s="551"/>
      <c r="C87" s="552"/>
      <c r="D87" s="553"/>
      <c r="E87" s="155"/>
      <c r="F87" s="130"/>
      <c r="G87" s="161"/>
      <c r="H87" s="60">
        <f t="shared" si="8"/>
        <v>0</v>
      </c>
    </row>
    <row r="88" spans="1:8">
      <c r="A88" s="169"/>
      <c r="B88" s="551" t="s">
        <v>182</v>
      </c>
      <c r="C88" s="552"/>
      <c r="D88" s="553"/>
      <c r="E88" s="155"/>
      <c r="F88" s="130"/>
      <c r="G88" s="161"/>
      <c r="H88" s="60">
        <f t="shared" si="8"/>
        <v>0</v>
      </c>
    </row>
    <row r="89" spans="1:8">
      <c r="A89" s="169"/>
      <c r="B89" s="551"/>
      <c r="C89" s="552"/>
      <c r="D89" s="553"/>
      <c r="E89" s="155"/>
      <c r="F89" s="130"/>
      <c r="G89" s="161"/>
      <c r="H89" s="60">
        <f t="shared" si="8"/>
        <v>0</v>
      </c>
    </row>
    <row r="90" spans="1:8">
      <c r="A90" s="169"/>
      <c r="B90" s="551"/>
      <c r="C90" s="552"/>
      <c r="D90" s="553"/>
      <c r="E90" s="155"/>
      <c r="F90" s="130"/>
      <c r="G90" s="161"/>
      <c r="H90" s="60">
        <f t="shared" si="8"/>
        <v>0</v>
      </c>
    </row>
    <row r="91" spans="1:8">
      <c r="A91" s="171" t="s">
        <v>288</v>
      </c>
      <c r="B91" s="554" t="s">
        <v>335</v>
      </c>
      <c r="C91" s="555"/>
      <c r="D91" s="556"/>
      <c r="E91" s="156">
        <v>1</v>
      </c>
      <c r="F91" s="120" t="s">
        <v>67</v>
      </c>
      <c r="G91" s="162">
        <v>8888888</v>
      </c>
      <c r="H91" s="60">
        <f t="shared" si="8"/>
        <v>8888900</v>
      </c>
    </row>
    <row r="92" spans="1:8">
      <c r="A92" s="169"/>
      <c r="B92" s="551"/>
      <c r="C92" s="552"/>
      <c r="D92" s="553"/>
      <c r="E92" s="155"/>
      <c r="F92" s="130"/>
      <c r="G92" s="161"/>
      <c r="H92" s="60">
        <f t="shared" si="8"/>
        <v>0</v>
      </c>
    </row>
    <row r="93" spans="1:8">
      <c r="A93" s="169"/>
      <c r="B93" s="551"/>
      <c r="C93" s="552"/>
      <c r="D93" s="553"/>
      <c r="E93" s="155"/>
      <c r="F93" s="130"/>
      <c r="G93" s="161"/>
      <c r="H93" s="60">
        <f t="shared" si="8"/>
        <v>0</v>
      </c>
    </row>
    <row r="94" spans="1:8">
      <c r="A94" s="169"/>
      <c r="B94" s="551"/>
      <c r="C94" s="552"/>
      <c r="D94" s="553"/>
      <c r="E94" s="155"/>
      <c r="F94" s="130"/>
      <c r="G94" s="161"/>
      <c r="H94" s="60">
        <f t="shared" si="8"/>
        <v>0</v>
      </c>
    </row>
    <row r="95" spans="1:8">
      <c r="A95" s="169"/>
      <c r="B95" s="551"/>
      <c r="C95" s="552"/>
      <c r="D95" s="553"/>
      <c r="E95" s="155"/>
      <c r="F95" s="130"/>
      <c r="G95" s="161"/>
      <c r="H95" s="60">
        <f t="shared" si="8"/>
        <v>0</v>
      </c>
    </row>
    <row r="96" spans="1:8">
      <c r="A96" s="171"/>
      <c r="B96" s="554"/>
      <c r="C96" s="555"/>
      <c r="D96" s="556"/>
      <c r="E96" s="156"/>
      <c r="F96" s="120"/>
      <c r="G96" s="162"/>
      <c r="H96" s="60">
        <f t="shared" si="8"/>
        <v>0</v>
      </c>
    </row>
    <row r="97" spans="1:8">
      <c r="A97" s="169"/>
      <c r="B97" s="551"/>
      <c r="C97" s="552"/>
      <c r="D97" s="553"/>
      <c r="E97" s="155"/>
      <c r="F97" s="130"/>
      <c r="G97" s="161"/>
      <c r="H97" s="60">
        <f t="shared" si="8"/>
        <v>0</v>
      </c>
    </row>
    <row r="98" spans="1:8">
      <c r="A98" s="169"/>
      <c r="B98" s="551"/>
      <c r="C98" s="552"/>
      <c r="D98" s="553"/>
      <c r="E98" s="155"/>
      <c r="F98" s="130"/>
      <c r="G98" s="161"/>
      <c r="H98" s="60">
        <f t="shared" si="8"/>
        <v>0</v>
      </c>
    </row>
    <row r="99" spans="1:8">
      <c r="A99" s="169"/>
      <c r="B99" s="551"/>
      <c r="C99" s="552"/>
      <c r="D99" s="553"/>
      <c r="E99" s="155"/>
      <c r="F99" s="130"/>
      <c r="G99" s="161"/>
      <c r="H99" s="60">
        <f t="shared" si="8"/>
        <v>0</v>
      </c>
    </row>
    <row r="100" spans="1:8">
      <c r="A100" s="169"/>
      <c r="B100" s="551"/>
      <c r="C100" s="552"/>
      <c r="D100" s="553"/>
      <c r="E100" s="155"/>
      <c r="F100" s="130"/>
      <c r="G100" s="161"/>
      <c r="H100" s="60">
        <f t="shared" si="8"/>
        <v>0</v>
      </c>
    </row>
    <row r="101" spans="1:8">
      <c r="A101" s="171"/>
      <c r="B101" s="554"/>
      <c r="C101" s="555"/>
      <c r="D101" s="556"/>
      <c r="E101" s="156"/>
      <c r="F101" s="120"/>
      <c r="G101" s="162"/>
      <c r="H101" s="60">
        <f t="shared" si="8"/>
        <v>0</v>
      </c>
    </row>
    <row r="102" spans="1:8">
      <c r="A102" s="168"/>
      <c r="B102" s="551"/>
      <c r="C102" s="552"/>
      <c r="D102" s="553"/>
      <c r="E102" s="155"/>
      <c r="F102" s="130"/>
      <c r="G102" s="161"/>
      <c r="H102" s="60">
        <f t="shared" si="8"/>
        <v>0</v>
      </c>
    </row>
    <row r="103" spans="1:8">
      <c r="A103" s="168"/>
      <c r="B103" s="551"/>
      <c r="C103" s="552"/>
      <c r="D103" s="553"/>
      <c r="E103" s="155"/>
      <c r="F103" s="130"/>
      <c r="G103" s="161"/>
      <c r="H103" s="60">
        <f t="shared" si="8"/>
        <v>0</v>
      </c>
    </row>
    <row r="104" spans="1:8">
      <c r="A104" s="169"/>
      <c r="B104" s="551"/>
      <c r="C104" s="552"/>
      <c r="D104" s="553"/>
      <c r="E104" s="155"/>
      <c r="F104" s="130"/>
      <c r="G104" s="161"/>
      <c r="H104" s="60">
        <f t="shared" si="8"/>
        <v>0</v>
      </c>
    </row>
    <row r="105" spans="1:8">
      <c r="A105" s="172"/>
      <c r="B105" s="566"/>
      <c r="C105" s="567"/>
      <c r="D105" s="568"/>
      <c r="E105" s="157"/>
      <c r="F105" s="136"/>
      <c r="G105" s="163"/>
      <c r="H105" s="60">
        <f t="shared" si="8"/>
        <v>0</v>
      </c>
    </row>
    <row r="106" spans="1:8">
      <c r="A106" s="565" t="s">
        <v>79</v>
      </c>
      <c r="B106" s="565"/>
      <c r="C106" s="565"/>
      <c r="D106" s="565"/>
      <c r="E106" s="565"/>
      <c r="F106" s="565"/>
      <c r="G106" s="565"/>
      <c r="H106" s="132">
        <f>ROUND(SUM(H$72:H$105),-3)</f>
        <v>9508000</v>
      </c>
    </row>
    <row r="107" spans="1:8">
      <c r="A107" s="147"/>
      <c r="B107" s="569"/>
      <c r="C107" s="569"/>
      <c r="D107" s="569"/>
      <c r="E107" s="148"/>
      <c r="F107" s="149"/>
      <c r="G107" s="150"/>
      <c r="H107" s="60"/>
    </row>
    <row r="108" spans="1:8">
      <c r="A108" s="559" t="s">
        <v>128</v>
      </c>
      <c r="B108" s="560"/>
      <c r="C108" s="560"/>
      <c r="D108" s="560"/>
      <c r="E108" s="560"/>
      <c r="F108" s="560"/>
      <c r="G108" s="561"/>
      <c r="H108" s="60"/>
    </row>
    <row r="109" spans="1:8">
      <c r="A109" s="167" t="s">
        <v>336</v>
      </c>
      <c r="B109" s="552" t="s">
        <v>146</v>
      </c>
      <c r="C109" s="552"/>
      <c r="D109" s="552"/>
      <c r="E109" s="158">
        <v>1</v>
      </c>
      <c r="F109" s="137" t="s">
        <v>148</v>
      </c>
      <c r="G109" s="164">
        <v>888888</v>
      </c>
      <c r="H109" s="60">
        <f t="shared" ref="H109:H116" si="9">ROUND(($E109*$G109),-2)</f>
        <v>888900</v>
      </c>
    </row>
    <row r="110" spans="1:8">
      <c r="A110" s="167" t="s">
        <v>149</v>
      </c>
      <c r="B110" s="551" t="s">
        <v>147</v>
      </c>
      <c r="C110" s="552"/>
      <c r="D110" s="553"/>
      <c r="E110" s="158">
        <v>1</v>
      </c>
      <c r="F110" s="137" t="s">
        <v>148</v>
      </c>
      <c r="G110" s="164">
        <v>88888</v>
      </c>
      <c r="H110" s="60">
        <f t="shared" si="9"/>
        <v>88900</v>
      </c>
    </row>
    <row r="111" spans="1:8">
      <c r="A111" s="167" t="s">
        <v>151</v>
      </c>
      <c r="B111" s="551" t="s">
        <v>150</v>
      </c>
      <c r="C111" s="552"/>
      <c r="D111" s="553"/>
      <c r="E111" s="158">
        <v>1</v>
      </c>
      <c r="F111" s="137" t="s">
        <v>148</v>
      </c>
      <c r="G111" s="164">
        <v>8888</v>
      </c>
      <c r="H111" s="60">
        <f t="shared" si="9"/>
        <v>8900</v>
      </c>
    </row>
    <row r="112" spans="1:8">
      <c r="A112" s="173" t="s">
        <v>152</v>
      </c>
      <c r="B112" s="554" t="s">
        <v>296</v>
      </c>
      <c r="C112" s="555"/>
      <c r="D112" s="556"/>
      <c r="E112" s="159">
        <v>1</v>
      </c>
      <c r="F112" s="138" t="s">
        <v>148</v>
      </c>
      <c r="G112" s="165">
        <v>888</v>
      </c>
      <c r="H112" s="60">
        <f t="shared" si="9"/>
        <v>900</v>
      </c>
    </row>
    <row r="113" spans="1:8">
      <c r="A113" s="167"/>
      <c r="B113" s="551"/>
      <c r="C113" s="552"/>
      <c r="D113" s="553"/>
      <c r="E113" s="158"/>
      <c r="F113" s="137"/>
      <c r="G113" s="164"/>
      <c r="H113" s="60">
        <f t="shared" si="9"/>
        <v>0</v>
      </c>
    </row>
    <row r="114" spans="1:8">
      <c r="A114" s="167"/>
      <c r="B114" s="552"/>
      <c r="C114" s="552"/>
      <c r="D114" s="552"/>
      <c r="E114" s="158"/>
      <c r="F114" s="137"/>
      <c r="G114" s="164"/>
      <c r="H114" s="60">
        <f t="shared" si="9"/>
        <v>0</v>
      </c>
    </row>
    <row r="115" spans="1:8">
      <c r="A115" s="167"/>
      <c r="B115" s="552"/>
      <c r="C115" s="552"/>
      <c r="D115" s="552"/>
      <c r="E115" s="158"/>
      <c r="F115" s="137"/>
      <c r="G115" s="164"/>
      <c r="H115" s="60">
        <f t="shared" si="9"/>
        <v>0</v>
      </c>
    </row>
    <row r="116" spans="1:8">
      <c r="A116" s="174"/>
      <c r="B116" s="571"/>
      <c r="C116" s="571"/>
      <c r="D116" s="571"/>
      <c r="E116" s="160"/>
      <c r="F116" s="151"/>
      <c r="G116" s="166"/>
      <c r="H116" s="60">
        <f t="shared" si="9"/>
        <v>0</v>
      </c>
    </row>
    <row r="117" spans="1:8">
      <c r="A117" s="572" t="s">
        <v>133</v>
      </c>
      <c r="B117" s="572"/>
      <c r="C117" s="572"/>
      <c r="D117" s="572"/>
      <c r="E117" s="572"/>
      <c r="F117" s="572"/>
      <c r="G117" s="573"/>
      <c r="H117" s="132">
        <f>ROUND(SUM(H$109:H$116),-3)</f>
        <v>988000</v>
      </c>
    </row>
    <row r="118" spans="1:8">
      <c r="A118" s="2"/>
      <c r="B118" s="5"/>
      <c r="C118" s="5"/>
      <c r="D118" s="5"/>
      <c r="E118" s="35"/>
      <c r="F118" s="5"/>
      <c r="G118" s="12"/>
      <c r="H118" s="32"/>
    </row>
    <row r="119" spans="1:8">
      <c r="A119" s="2" t="s">
        <v>136</v>
      </c>
      <c r="B119" s="5"/>
      <c r="C119" s="5"/>
      <c r="D119" s="5"/>
      <c r="E119" s="35"/>
      <c r="F119" s="5"/>
      <c r="G119" s="12"/>
      <c r="H119" s="132">
        <f>SUM($H$69,$H$106,$H$117)</f>
        <v>12256000</v>
      </c>
    </row>
    <row r="120" spans="1:8" ht="13" thickBot="1">
      <c r="A120" s="5"/>
      <c r="B120" s="5"/>
      <c r="C120" s="5"/>
      <c r="D120" s="5"/>
      <c r="E120" s="5"/>
      <c r="F120" s="5"/>
      <c r="G120" s="5"/>
      <c r="H120" s="3"/>
    </row>
    <row r="121" spans="1:8" ht="13" thickBot="1">
      <c r="A121" s="129" t="s">
        <v>137</v>
      </c>
      <c r="B121" s="123"/>
      <c r="C121" s="123"/>
      <c r="D121" s="123"/>
      <c r="E121" s="123"/>
      <c r="F121" s="129"/>
      <c r="G121" s="124"/>
      <c r="H121" s="324">
        <f>ROUND(SUM($H$65,$H$119),-3)</f>
        <v>76058000</v>
      </c>
    </row>
    <row r="122" spans="1:8">
      <c r="A122" s="2"/>
      <c r="B122" s="11"/>
      <c r="C122" s="11"/>
      <c r="D122" s="11"/>
      <c r="E122" s="11"/>
      <c r="F122" s="2"/>
      <c r="G122" s="7"/>
      <c r="H122" s="31"/>
    </row>
    <row r="123" spans="1:8">
      <c r="A123" s="1" t="s">
        <v>83</v>
      </c>
      <c r="B123" s="5" t="s">
        <v>84</v>
      </c>
      <c r="C123" s="5"/>
      <c r="D123" s="5"/>
      <c r="E123" s="56">
        <v>88888</v>
      </c>
      <c r="F123" s="61" t="s">
        <v>145</v>
      </c>
      <c r="G123" s="131">
        <v>8</v>
      </c>
      <c r="H123" s="132">
        <f>ROUND(($E123*$G123),-3)</f>
        <v>711000</v>
      </c>
    </row>
    <row r="124" spans="1:8">
      <c r="A124" s="2"/>
      <c r="B124" s="11"/>
      <c r="C124" s="11"/>
      <c r="D124" s="11"/>
      <c r="E124" s="11"/>
      <c r="F124" s="2"/>
      <c r="G124" s="7"/>
      <c r="H124" s="31"/>
    </row>
    <row r="125" spans="1:8">
      <c r="A125" s="5" t="str">
        <f>A3</f>
        <v xml:space="preserve">PROJECT TITLE:  </v>
      </c>
      <c r="B125" s="11" t="str">
        <f>IF($B$3="","",$B$3)</f>
        <v>OLD MAIN MEMORIAL HALL ADDITION &amp; RENOVATION - PHASE VIII</v>
      </c>
      <c r="C125" s="5"/>
      <c r="D125" s="5"/>
      <c r="E125" s="5"/>
      <c r="F125" s="5"/>
      <c r="G125" s="5"/>
      <c r="H125" s="5"/>
    </row>
    <row r="126" spans="1:8">
      <c r="A126" s="1" t="str">
        <f>((A$121)&amp;" (from page 2)")</f>
        <v>CONSTRUCTION &amp; REMODELING COST SUBTOTAL (from page 2)</v>
      </c>
      <c r="B126" s="5"/>
      <c r="C126" s="5"/>
      <c r="D126" s="11"/>
      <c r="E126" s="11"/>
      <c r="F126" s="11"/>
      <c r="G126" s="12"/>
      <c r="H126" s="132">
        <f>($H$121)</f>
        <v>76058000</v>
      </c>
    </row>
    <row r="127" spans="1:8" ht="13" thickBot="1">
      <c r="A127" s="1"/>
      <c r="B127" s="5"/>
      <c r="C127" s="5"/>
      <c r="D127" s="11"/>
      <c r="E127" s="11"/>
      <c r="F127" s="11"/>
      <c r="G127" s="7"/>
      <c r="H127" s="3"/>
    </row>
    <row r="128" spans="1:8" ht="13" thickBot="1">
      <c r="A128" s="121" t="s">
        <v>78</v>
      </c>
      <c r="B128" s="122"/>
      <c r="C128" s="122"/>
      <c r="D128" s="123"/>
      <c r="E128" s="123"/>
      <c r="F128" s="123"/>
      <c r="G128" s="124"/>
      <c r="H128" s="324">
        <f>ROUND(($E$139),-3)</f>
        <v>151959000</v>
      </c>
    </row>
    <row r="129" spans="1:8">
      <c r="A129" s="92" t="s">
        <v>400</v>
      </c>
      <c r="B129" s="5"/>
      <c r="C129" s="19"/>
      <c r="D129" s="11"/>
      <c r="E129" s="32">
        <f>($H$63)</f>
        <v>63802000</v>
      </c>
      <c r="F129" s="11"/>
      <c r="G129" s="7"/>
      <c r="H129" s="3"/>
    </row>
    <row r="130" spans="1:8">
      <c r="A130" s="92" t="s">
        <v>401</v>
      </c>
      <c r="B130" s="5"/>
      <c r="C130" s="19"/>
      <c r="D130" s="11"/>
      <c r="E130" s="32">
        <f>($H$69)</f>
        <v>1760000</v>
      </c>
      <c r="F130" s="11"/>
      <c r="G130" s="7"/>
      <c r="H130" s="3"/>
    </row>
    <row r="131" spans="1:8">
      <c r="A131" s="92" t="s">
        <v>402</v>
      </c>
      <c r="B131" s="5"/>
      <c r="C131" s="19"/>
      <c r="D131" s="11"/>
      <c r="E131" s="32">
        <f>($H$106)</f>
        <v>9508000</v>
      </c>
      <c r="F131" s="11"/>
      <c r="G131" s="7"/>
      <c r="H131" s="3"/>
    </row>
    <row r="132" spans="1:8">
      <c r="A132" s="92" t="s">
        <v>403</v>
      </c>
      <c r="B132" s="5"/>
      <c r="C132" s="19"/>
      <c r="D132" s="11"/>
      <c r="E132" s="139">
        <f>($H$117)</f>
        <v>988000</v>
      </c>
      <c r="F132" s="11"/>
      <c r="G132" s="7"/>
      <c r="H132" s="3"/>
    </row>
    <row r="133" spans="1:8">
      <c r="A133" s="92" t="s">
        <v>404</v>
      </c>
      <c r="B133" s="5"/>
      <c r="C133" s="19"/>
      <c r="D133" s="11"/>
      <c r="E133" s="32">
        <f>($H$121)</f>
        <v>76058000</v>
      </c>
      <c r="F133" s="11"/>
      <c r="G133" s="7"/>
      <c r="H133" s="3"/>
    </row>
    <row r="134" spans="1:8">
      <c r="A134" s="92" t="s">
        <v>108</v>
      </c>
      <c r="B134" s="5"/>
      <c r="C134" s="75">
        <v>8.8887999999999995E-2</v>
      </c>
      <c r="D134" s="32">
        <f>($H$126)</f>
        <v>76058000</v>
      </c>
      <c r="E134" s="32">
        <f>ROUND(($C$134*$D$134),-2)</f>
        <v>6760600</v>
      </c>
      <c r="F134" s="11"/>
      <c r="G134" s="7"/>
      <c r="H134" s="3"/>
    </row>
    <row r="135" spans="1:8">
      <c r="A135" s="92" t="s">
        <v>437</v>
      </c>
      <c r="B135" s="5"/>
      <c r="C135" s="540">
        <v>8.8887999999999995E-2</v>
      </c>
      <c r="D135" s="32">
        <f>($H$126)</f>
        <v>76058000</v>
      </c>
      <c r="E135" s="32">
        <f>ROUND(($C$135*$D$135),-2)</f>
        <v>6760600</v>
      </c>
      <c r="F135" s="11"/>
      <c r="G135" s="7"/>
      <c r="H135" s="3"/>
    </row>
    <row r="136" spans="1:8">
      <c r="A136" s="92" t="s">
        <v>117</v>
      </c>
      <c r="B136" s="5"/>
      <c r="C136" s="75">
        <v>8.8887999999999995E-2</v>
      </c>
      <c r="D136" s="32">
        <f>($H$126)</f>
        <v>76058000</v>
      </c>
      <c r="E136" s="32">
        <f>ROUND(($C$136*$D$136),-2)</f>
        <v>6760600</v>
      </c>
      <c r="F136" s="11"/>
      <c r="G136" s="7"/>
      <c r="H136" s="3"/>
    </row>
    <row r="137" spans="1:8">
      <c r="A137" s="92" t="s">
        <v>405</v>
      </c>
      <c r="B137" s="5"/>
      <c r="C137" s="19"/>
      <c r="D137" s="11"/>
      <c r="E137" s="139">
        <f>($H$123)</f>
        <v>711000</v>
      </c>
      <c r="F137" s="11"/>
      <c r="G137" s="7"/>
      <c r="H137" s="3"/>
    </row>
    <row r="138" spans="1:8">
      <c r="A138" s="92" t="s">
        <v>406</v>
      </c>
      <c r="B138" s="5"/>
      <c r="C138" s="19"/>
      <c r="D138" s="11"/>
      <c r="E138" s="32">
        <f>SUM(E$133:E$137)</f>
        <v>97050800</v>
      </c>
      <c r="F138" s="11"/>
      <c r="G138" s="7"/>
      <c r="H138" s="3"/>
    </row>
    <row r="139" spans="1:8">
      <c r="A139" s="92" t="s">
        <v>407</v>
      </c>
      <c r="B139" s="5"/>
      <c r="C139" s="83">
        <f>(ENR)</f>
        <v>1.5657689387031839</v>
      </c>
      <c r="D139" s="32">
        <f>($E$138)</f>
        <v>97050800</v>
      </c>
      <c r="E139" s="32">
        <f>ROUND(($D$139*$C$139),-2)</f>
        <v>151959100</v>
      </c>
      <c r="F139" s="11"/>
      <c r="G139" s="7"/>
      <c r="H139" s="3"/>
    </row>
    <row r="140" spans="1:8" ht="13" thickBot="1">
      <c r="A140" s="1"/>
      <c r="B140" s="5"/>
      <c r="C140" s="5"/>
      <c r="D140" s="11"/>
      <c r="E140" s="11"/>
      <c r="F140" s="11"/>
      <c r="G140" s="7"/>
      <c r="H140" s="3"/>
    </row>
    <row r="141" spans="1:8" ht="13" thickBot="1">
      <c r="A141" s="121" t="s">
        <v>75</v>
      </c>
      <c r="B141" s="122"/>
      <c r="C141" s="122"/>
      <c r="D141" s="119"/>
      <c r="E141" s="119"/>
      <c r="F141" s="125"/>
      <c r="G141" s="175">
        <f>IF($H$141=0,"",($H$141/TOTCONST))</f>
        <v>9.2445988720641747E-2</v>
      </c>
      <c r="H141" s="324">
        <f>ROUND(SUM($E$142:$E$144),-3)</f>
        <v>14048000</v>
      </c>
    </row>
    <row r="142" spans="1:8">
      <c r="A142" s="20" t="s">
        <v>105</v>
      </c>
      <c r="B142" s="5"/>
      <c r="C142" s="75">
        <v>8.8887999999999995E-2</v>
      </c>
      <c r="D142" s="32">
        <f>($H$128)</f>
        <v>151959000</v>
      </c>
      <c r="E142" s="32">
        <f>IF($E$143&gt;0,0,((ROUND(($C142*$D$142),-2))))</f>
        <v>13507300</v>
      </c>
      <c r="F142" s="1"/>
      <c r="G142" s="5"/>
      <c r="H142" s="3"/>
    </row>
    <row r="143" spans="1:8">
      <c r="A143" s="20" t="s">
        <v>106</v>
      </c>
      <c r="B143" s="5"/>
      <c r="C143" s="66" t="str">
        <f>IF($E$143=0,"",($E$143/TOTCONST))</f>
        <v/>
      </c>
      <c r="D143" s="3"/>
      <c r="E143" s="57">
        <v>0</v>
      </c>
      <c r="F143" s="1"/>
      <c r="G143" s="5"/>
      <c r="H143" s="3"/>
    </row>
    <row r="144" spans="1:8">
      <c r="A144" s="20" t="s">
        <v>60</v>
      </c>
      <c r="B144" s="5"/>
      <c r="C144" s="75">
        <v>0.04</v>
      </c>
      <c r="D144" s="32">
        <f>($E$142+$E$143)</f>
        <v>13507300</v>
      </c>
      <c r="E144" s="32">
        <f>ROUND($C144*D$144,-2)</f>
        <v>540300</v>
      </c>
      <c r="F144" s="8"/>
      <c r="G144" s="5"/>
      <c r="H144" s="3"/>
    </row>
    <row r="145" spans="1:8" ht="13" thickBot="1">
      <c r="A145" s="1"/>
      <c r="B145" s="5"/>
      <c r="C145" s="19"/>
      <c r="D145" s="3"/>
      <c r="E145" s="9"/>
      <c r="F145" s="5"/>
      <c r="G145" s="5"/>
      <c r="H145" s="3"/>
    </row>
    <row r="146" spans="1:8" ht="13" thickBot="1">
      <c r="A146" s="121" t="s">
        <v>76</v>
      </c>
      <c r="B146" s="122"/>
      <c r="C146" s="126"/>
      <c r="D146" s="119"/>
      <c r="E146" s="127"/>
      <c r="F146" s="122"/>
      <c r="G146" s="175">
        <f>IF($H$146=0,"",($H$146/TOTCONST))</f>
        <v>2.1466316572233298E-2</v>
      </c>
      <c r="H146" s="324">
        <f>ROUND(SUM($E$147:$E$157),-3)</f>
        <v>3262000</v>
      </c>
    </row>
    <row r="147" spans="1:8">
      <c r="A147" s="20" t="s">
        <v>69</v>
      </c>
      <c r="B147" s="5"/>
      <c r="C147" s="75">
        <v>0.01</v>
      </c>
      <c r="D147" s="32">
        <f>($H$128)</f>
        <v>151959000</v>
      </c>
      <c r="E147" s="32">
        <f>ROUND(($C147*$D$147),-2)</f>
        <v>1519600</v>
      </c>
      <c r="F147" s="1"/>
      <c r="G147" s="5"/>
      <c r="H147" s="3"/>
    </row>
    <row r="148" spans="1:8">
      <c r="A148" s="20" t="s">
        <v>3</v>
      </c>
      <c r="B148" s="5"/>
      <c r="C148" s="19"/>
      <c r="D148" s="3"/>
      <c r="E148" s="57">
        <v>0</v>
      </c>
      <c r="F148" s="5"/>
      <c r="G148" s="5"/>
      <c r="H148" s="3"/>
    </row>
    <row r="149" spans="1:8">
      <c r="A149" s="20" t="s">
        <v>125</v>
      </c>
      <c r="B149" s="5"/>
      <c r="C149" s="88">
        <v>0.01</v>
      </c>
      <c r="D149" s="32">
        <f>($H$128)</f>
        <v>151959000</v>
      </c>
      <c r="E149" s="32">
        <f>ROUND(($C$149*$D$149),-2)</f>
        <v>1519600</v>
      </c>
      <c r="F149" s="5"/>
      <c r="G149" s="5"/>
      <c r="H149" s="3"/>
    </row>
    <row r="150" spans="1:8">
      <c r="A150" s="20" t="s">
        <v>6</v>
      </c>
      <c r="B150" s="5"/>
      <c r="C150" s="90"/>
      <c r="D150" s="3"/>
      <c r="E150" s="89">
        <v>0</v>
      </c>
      <c r="F150" s="5"/>
      <c r="G150" s="5"/>
      <c r="H150" s="3"/>
    </row>
    <row r="151" spans="1:8">
      <c r="A151" s="20" t="s">
        <v>2</v>
      </c>
      <c r="B151" s="5"/>
      <c r="C151" s="19"/>
      <c r="D151" s="3"/>
      <c r="E151" s="87">
        <v>0</v>
      </c>
      <c r="F151" s="5"/>
      <c r="G151" s="5"/>
      <c r="H151" s="3"/>
    </row>
    <row r="152" spans="1:8">
      <c r="A152" s="20" t="s">
        <v>5</v>
      </c>
      <c r="B152" s="5"/>
      <c r="C152" s="19"/>
      <c r="D152" s="3"/>
      <c r="E152" s="87">
        <v>0</v>
      </c>
      <c r="F152" s="5"/>
      <c r="G152" s="5"/>
      <c r="H152" s="3"/>
    </row>
    <row r="153" spans="1:8">
      <c r="A153" s="613" t="s">
        <v>297</v>
      </c>
      <c r="B153" s="613"/>
      <c r="C153" s="613"/>
      <c r="D153" s="3"/>
      <c r="E153" s="87">
        <v>8888</v>
      </c>
      <c r="F153" s="5"/>
      <c r="G153" s="5"/>
      <c r="H153" s="3"/>
    </row>
    <row r="154" spans="1:8">
      <c r="A154" s="613" t="s">
        <v>298</v>
      </c>
      <c r="B154" s="613"/>
      <c r="C154" s="613"/>
      <c r="D154" s="3"/>
      <c r="E154" s="87">
        <v>88888</v>
      </c>
      <c r="F154" s="5"/>
      <c r="G154" s="5"/>
      <c r="H154" s="3"/>
    </row>
    <row r="155" spans="1:8">
      <c r="A155" s="613" t="s">
        <v>299</v>
      </c>
      <c r="B155" s="613"/>
      <c r="C155" s="613"/>
      <c r="D155" s="3"/>
      <c r="E155" s="87">
        <v>8888</v>
      </c>
      <c r="F155" s="5"/>
      <c r="G155" s="5"/>
      <c r="H155" s="3"/>
    </row>
    <row r="156" spans="1:8">
      <c r="A156" s="613" t="s">
        <v>123</v>
      </c>
      <c r="B156" s="613"/>
      <c r="C156" s="613"/>
      <c r="D156" s="3"/>
      <c r="E156" s="91">
        <v>0</v>
      </c>
      <c r="F156" s="5"/>
      <c r="G156" s="5"/>
      <c r="H156" s="3"/>
    </row>
    <row r="157" spans="1:8">
      <c r="A157" s="20" t="s">
        <v>127</v>
      </c>
      <c r="B157" s="5"/>
      <c r="C157" s="88">
        <v>0.1</v>
      </c>
      <c r="D157" s="32">
        <f>($G$158)</f>
        <v>1164400</v>
      </c>
      <c r="E157" s="32">
        <f>ROUND(($C$157*$D$157),-2)</f>
        <v>116400</v>
      </c>
      <c r="F157" s="5"/>
      <c r="G157" s="5"/>
      <c r="H157" s="3"/>
    </row>
    <row r="158" spans="1:8">
      <c r="A158" s="225" t="s">
        <v>129</v>
      </c>
      <c r="B158" s="226"/>
      <c r="C158" s="227"/>
      <c r="D158" s="228"/>
      <c r="E158" s="32"/>
      <c r="F158" s="134" t="s">
        <v>134</v>
      </c>
      <c r="G158" s="135">
        <f>ROUND(SUM($E$159:$E$163),-2)</f>
        <v>1164400</v>
      </c>
      <c r="H158" s="3"/>
    </row>
    <row r="159" spans="1:8">
      <c r="A159" s="92" t="s">
        <v>124</v>
      </c>
      <c r="B159" s="92"/>
      <c r="C159" s="92"/>
      <c r="D159" s="3"/>
      <c r="E159" s="89">
        <v>888888</v>
      </c>
      <c r="F159" s="5"/>
      <c r="G159" s="5"/>
      <c r="H159" s="3"/>
    </row>
    <row r="160" spans="1:8">
      <c r="A160" s="92" t="s">
        <v>61</v>
      </c>
      <c r="B160" s="92"/>
      <c r="C160" s="92"/>
      <c r="D160" s="3"/>
      <c r="E160" s="87">
        <v>88888</v>
      </c>
      <c r="F160" s="5"/>
      <c r="G160" s="5"/>
      <c r="H160" s="3"/>
    </row>
    <row r="161" spans="1:8">
      <c r="A161" s="570" t="s">
        <v>301</v>
      </c>
      <c r="B161" s="570"/>
      <c r="C161" s="570"/>
      <c r="D161" s="3"/>
      <c r="E161" s="87">
        <v>8888</v>
      </c>
      <c r="F161" s="5"/>
      <c r="G161" s="5"/>
      <c r="H161" s="3"/>
    </row>
    <row r="162" spans="1:8">
      <c r="A162" s="570" t="s">
        <v>300</v>
      </c>
      <c r="B162" s="570"/>
      <c r="C162" s="570"/>
      <c r="D162" s="3"/>
      <c r="E162" s="87">
        <v>88888</v>
      </c>
      <c r="F162" s="5"/>
      <c r="G162" s="5"/>
      <c r="H162" s="3"/>
    </row>
    <row r="163" spans="1:8">
      <c r="A163" s="570" t="s">
        <v>302</v>
      </c>
      <c r="B163" s="570"/>
      <c r="C163" s="570"/>
      <c r="D163" s="3"/>
      <c r="E163" s="91">
        <v>88888</v>
      </c>
      <c r="F163" s="5"/>
      <c r="G163" s="5"/>
      <c r="H163" s="3"/>
    </row>
    <row r="164" spans="1:8" ht="13" thickBot="1">
      <c r="A164" s="18"/>
      <c r="B164" s="5"/>
      <c r="C164" s="19"/>
      <c r="D164" s="3"/>
      <c r="E164" s="5"/>
      <c r="F164" s="5"/>
      <c r="G164" s="5"/>
      <c r="H164" s="3"/>
    </row>
    <row r="165" spans="1:8" ht="13" thickBot="1">
      <c r="A165" s="121" t="s">
        <v>77</v>
      </c>
      <c r="B165" s="122"/>
      <c r="C165" s="213">
        <v>0.15</v>
      </c>
      <c r="D165" s="109">
        <f>($H$128)</f>
        <v>151959000</v>
      </c>
      <c r="E165" s="109">
        <f>ROUND($C165*$D165,-2)</f>
        <v>22793900</v>
      </c>
      <c r="F165" s="125"/>
      <c r="G165" s="122"/>
      <c r="H165" s="324">
        <f>ROUND(VALUE($E$165),-3)</f>
        <v>22794000</v>
      </c>
    </row>
    <row r="166" spans="1:8" ht="13" thickBot="1">
      <c r="A166" s="18"/>
      <c r="B166" s="5"/>
      <c r="C166" s="19"/>
      <c r="D166" s="3"/>
      <c r="E166" s="5"/>
      <c r="F166" s="5"/>
      <c r="G166" s="5"/>
      <c r="H166" s="3"/>
    </row>
    <row r="167" spans="1:8" ht="13" thickBot="1">
      <c r="A167" s="121" t="s">
        <v>104</v>
      </c>
      <c r="B167" s="122"/>
      <c r="C167" s="75">
        <v>0.04</v>
      </c>
      <c r="D167" s="109">
        <f>SUM($H$128+$H$165)</f>
        <v>174753000</v>
      </c>
      <c r="E167" s="109">
        <f>ROUND($C167*$D167,-2)</f>
        <v>6990100</v>
      </c>
      <c r="F167" s="125"/>
      <c r="G167" s="122"/>
      <c r="H167" s="324">
        <f>ROUND(VALUE($E$167),-3)</f>
        <v>6990000</v>
      </c>
    </row>
    <row r="168" spans="1:8" ht="13" thickBot="1">
      <c r="A168" s="5"/>
      <c r="B168" s="5"/>
      <c r="C168" s="21"/>
      <c r="D168" s="3"/>
      <c r="E168" s="3"/>
      <c r="F168" s="8"/>
      <c r="G168" s="5"/>
      <c r="H168" s="3"/>
    </row>
    <row r="169" spans="1:8" ht="13" thickBot="1">
      <c r="A169" s="121" t="s">
        <v>126</v>
      </c>
      <c r="B169" s="122"/>
      <c r="C169" s="128"/>
      <c r="D169" s="119"/>
      <c r="E169" s="119"/>
      <c r="F169" s="125"/>
      <c r="G169" s="154">
        <f>IF($H$169=0,"",($H$169/TOTCONST))</f>
        <v>0.1257970900045407</v>
      </c>
      <c r="H169" s="324">
        <f>ROUND(SUM($E$170:$E$177),-3)</f>
        <v>19116000</v>
      </c>
    </row>
    <row r="170" spans="1:8">
      <c r="A170" s="20" t="s">
        <v>132</v>
      </c>
      <c r="B170" s="5"/>
      <c r="C170" s="21"/>
      <c r="D170" s="3"/>
      <c r="E170" s="32">
        <f>ROUND(SUM($E$159:$E$163),-2)</f>
        <v>1164400</v>
      </c>
      <c r="F170" s="1"/>
      <c r="G170" s="5"/>
      <c r="H170" s="58"/>
    </row>
    <row r="171" spans="1:8">
      <c r="A171" s="225" t="s">
        <v>130</v>
      </c>
      <c r="B171" s="226"/>
      <c r="C171" s="229"/>
      <c r="D171" s="230"/>
      <c r="E171" s="3"/>
      <c r="F171" s="134" t="s">
        <v>135</v>
      </c>
      <c r="G171" s="135">
        <f>ROUND(SUM($E$172:$E$177),-2)</f>
        <v>17951700</v>
      </c>
      <c r="H171" s="58"/>
    </row>
    <row r="172" spans="1:8">
      <c r="A172" s="20" t="s">
        <v>131</v>
      </c>
      <c r="B172" s="5"/>
      <c r="C172" s="75">
        <v>8.8887999999999995E-2</v>
      </c>
      <c r="D172" s="32">
        <f>($H$128)</f>
        <v>151959000</v>
      </c>
      <c r="E172" s="32">
        <f>ROUND($C172*$D172,-2)</f>
        <v>13507300</v>
      </c>
      <c r="F172" s="22"/>
      <c r="G172" s="5"/>
      <c r="H172" s="3"/>
    </row>
    <row r="173" spans="1:8">
      <c r="A173" s="20" t="s">
        <v>124</v>
      </c>
      <c r="B173" s="5"/>
      <c r="C173" s="5"/>
      <c r="D173" s="3"/>
      <c r="E173" s="89">
        <v>888888</v>
      </c>
      <c r="F173" s="22"/>
      <c r="G173" s="5"/>
      <c r="H173" s="3"/>
    </row>
    <row r="174" spans="1:8">
      <c r="A174" s="20" t="s">
        <v>61</v>
      </c>
      <c r="B174" s="5"/>
      <c r="C174" s="5"/>
      <c r="D174" s="3"/>
      <c r="E174" s="87">
        <v>888888</v>
      </c>
      <c r="F174" s="22"/>
      <c r="G174" s="5"/>
      <c r="H174" s="3"/>
    </row>
    <row r="175" spans="1:8">
      <c r="A175" s="613" t="s">
        <v>303</v>
      </c>
      <c r="B175" s="613"/>
      <c r="C175" s="613"/>
      <c r="D175" s="3"/>
      <c r="E175" s="87">
        <v>888888</v>
      </c>
      <c r="F175" s="22"/>
      <c r="G175" s="5"/>
      <c r="H175" s="3"/>
    </row>
    <row r="176" spans="1:8">
      <c r="A176" s="613" t="s">
        <v>337</v>
      </c>
      <c r="B176" s="613"/>
      <c r="C176" s="613"/>
      <c r="D176" s="3"/>
      <c r="E176" s="87">
        <v>888888</v>
      </c>
      <c r="F176" s="22"/>
      <c r="G176" s="5"/>
      <c r="H176" s="3"/>
    </row>
    <row r="177" spans="1:8">
      <c r="A177" s="613" t="s">
        <v>338</v>
      </c>
      <c r="B177" s="613"/>
      <c r="C177" s="613"/>
      <c r="D177" s="3"/>
      <c r="E177" s="91">
        <v>888888</v>
      </c>
      <c r="F177" s="22"/>
      <c r="G177" s="5"/>
      <c r="H177" s="3"/>
    </row>
    <row r="178" spans="1:8" ht="13" thickBot="1">
      <c r="A178" s="5"/>
      <c r="B178" s="5"/>
      <c r="C178" s="5"/>
      <c r="D178" s="5"/>
      <c r="E178" s="5"/>
      <c r="F178" s="5"/>
      <c r="G178" s="5"/>
      <c r="H178" s="3"/>
    </row>
    <row r="179" spans="1:8" ht="13" thickBot="1">
      <c r="A179" s="129" t="s">
        <v>46</v>
      </c>
      <c r="B179" s="123"/>
      <c r="C179" s="123"/>
      <c r="D179" s="123"/>
      <c r="E179" s="123"/>
      <c r="F179" s="129"/>
      <c r="G179" s="124"/>
      <c r="H179" s="324">
        <f>ROUND(SUM($H$128,$H$141,$H$146,$H$165,$H$167,$H$169),-3)</f>
        <v>218169000</v>
      </c>
    </row>
    <row r="180" spans="1:8" ht="5.75" customHeight="1">
      <c r="A180" s="11"/>
      <c r="B180" s="11"/>
      <c r="C180" s="11"/>
      <c r="D180" s="11"/>
      <c r="E180" s="11"/>
      <c r="F180" s="11"/>
      <c r="G180" s="11"/>
      <c r="H180" s="5"/>
    </row>
    <row r="181" spans="1:8">
      <c r="A181" s="8"/>
      <c r="B181" s="5"/>
      <c r="C181" s="32">
        <f>IF(ISERR(ROUND($H$126/($B$9+$B$13),0)),0,ROUND($H$126/($B$9+$B$13),0))</f>
        <v>1127</v>
      </c>
      <c r="D181" s="23" t="s">
        <v>56</v>
      </c>
      <c r="E181" s="5"/>
      <c r="F181" s="5"/>
      <c r="G181" s="5"/>
      <c r="H181" s="5"/>
    </row>
    <row r="182" spans="1:8">
      <c r="A182" s="8"/>
      <c r="B182" s="5"/>
      <c r="C182" s="32">
        <f>IF(ISERR(ROUND($H$126/($B$10+$B$13),0)),0,ROUND($H$126/($B$10+$B$13),0))</f>
        <v>1002</v>
      </c>
      <c r="D182" s="23" t="s">
        <v>57</v>
      </c>
      <c r="E182" s="5"/>
      <c r="F182" s="5"/>
      <c r="G182" s="5"/>
      <c r="H182" s="5"/>
    </row>
    <row r="183" spans="1:8">
      <c r="A183" s="8"/>
      <c r="B183" s="5"/>
      <c r="C183" s="32">
        <f>IF(ISERR(ROUND($H$179/($B$9+$B$13),0)),0,ROUND($H$179/($B$9+$B$13),0))</f>
        <v>3234</v>
      </c>
      <c r="D183" s="23" t="s">
        <v>55</v>
      </c>
      <c r="E183" s="5"/>
      <c r="F183" s="5"/>
      <c r="G183" s="5"/>
      <c r="H183" s="5"/>
    </row>
    <row r="184" spans="1:8">
      <c r="A184" s="5"/>
      <c r="B184" s="5"/>
      <c r="C184" s="32">
        <f>IF(ISERR(ROUND($H$179/($B$10+$B$13),0)),0,ROUND($H$179/($B$10+$B$13),0))</f>
        <v>2874</v>
      </c>
      <c r="D184" s="23" t="s">
        <v>54</v>
      </c>
      <c r="E184" s="5"/>
      <c r="F184" s="5"/>
      <c r="G184" s="5"/>
      <c r="H184" s="5"/>
    </row>
    <row r="185" spans="1:8" ht="5.75" customHeight="1">
      <c r="A185" s="5"/>
      <c r="B185" s="5"/>
      <c r="C185" s="32"/>
      <c r="D185" s="23"/>
      <c r="E185" s="5"/>
      <c r="F185" s="5"/>
      <c r="G185" s="5"/>
      <c r="H185" s="5"/>
    </row>
    <row r="186" spans="1:8">
      <c r="A186" s="129" t="s">
        <v>47</v>
      </c>
      <c r="B186" s="122"/>
      <c r="C186" s="122"/>
      <c r="D186" s="122"/>
      <c r="E186" s="122"/>
      <c r="F186" s="122"/>
      <c r="G186" s="122"/>
      <c r="H186" s="122"/>
    </row>
    <row r="187" spans="1:8">
      <c r="A187" s="205" t="s">
        <v>101</v>
      </c>
      <c r="B187" s="206"/>
      <c r="C187" s="206"/>
      <c r="D187" s="206"/>
      <c r="E187" s="206"/>
      <c r="F187" s="206"/>
      <c r="G187" s="206"/>
      <c r="H187" s="5"/>
    </row>
    <row r="188" spans="1:8">
      <c r="A188" s="205" t="s">
        <v>101</v>
      </c>
      <c r="B188" s="206"/>
      <c r="C188" s="206"/>
      <c r="D188" s="206"/>
      <c r="E188" s="206"/>
      <c r="F188" s="206"/>
      <c r="G188" s="206"/>
      <c r="H188" s="5"/>
    </row>
    <row r="189" spans="1:8">
      <c r="A189" s="205" t="s">
        <v>101</v>
      </c>
      <c r="B189" s="206"/>
      <c r="C189" s="206"/>
      <c r="D189" s="206"/>
      <c r="E189" s="206"/>
      <c r="F189" s="206"/>
      <c r="G189" s="206"/>
      <c r="H189" s="5"/>
    </row>
    <row r="190" spans="1:8">
      <c r="A190" s="205" t="s">
        <v>101</v>
      </c>
      <c r="B190" s="206"/>
      <c r="C190" s="206"/>
      <c r="D190" s="206"/>
      <c r="E190" s="206"/>
      <c r="F190" s="206"/>
      <c r="G190" s="206"/>
      <c r="H190" s="5"/>
    </row>
    <row r="191" spans="1:8">
      <c r="A191" s="205" t="s">
        <v>101</v>
      </c>
      <c r="B191" s="206"/>
      <c r="C191" s="206"/>
      <c r="D191" s="206"/>
      <c r="E191" s="206"/>
      <c r="F191" s="206"/>
      <c r="G191" s="206"/>
      <c r="H191" s="5"/>
    </row>
  </sheetData>
  <sheetProtection algorithmName="SHA-512" hashValue="Gb4Al2JTUcyOqthNrDDzsZgXdpH+VMr0EiyvGUwMN0U5zYQ5Tpp0zxT1jspMBkgn2qngm+IJ/h2qDqzADupApA==" saltValue="0ZT8LaO2W5zbZ/hM4xOxMw==" spinCount="100000" sheet="1" scenarios="1" selectLockedCells="1" selectUnlockedCells="1"/>
  <mergeCells count="76">
    <mergeCell ref="A163:C163"/>
    <mergeCell ref="A175:C175"/>
    <mergeCell ref="A176:C176"/>
    <mergeCell ref="A177:C177"/>
    <mergeCell ref="A153:C153"/>
    <mergeCell ref="A154:C154"/>
    <mergeCell ref="A155:C155"/>
    <mergeCell ref="A156:C156"/>
    <mergeCell ref="A161:C161"/>
    <mergeCell ref="A162:C162"/>
    <mergeCell ref="A117:G117"/>
    <mergeCell ref="A106:G106"/>
    <mergeCell ref="B107:D107"/>
    <mergeCell ref="A108:G108"/>
    <mergeCell ref="B109:D109"/>
    <mergeCell ref="B110:D110"/>
    <mergeCell ref="B111:D111"/>
    <mergeCell ref="B112:D112"/>
    <mergeCell ref="B113:D113"/>
    <mergeCell ref="B114:D114"/>
    <mergeCell ref="B115:D115"/>
    <mergeCell ref="B116:D116"/>
    <mergeCell ref="B105:D105"/>
    <mergeCell ref="B94:D94"/>
    <mergeCell ref="B95:D95"/>
    <mergeCell ref="B96:D96"/>
    <mergeCell ref="B97:D97"/>
    <mergeCell ref="B98:D98"/>
    <mergeCell ref="B99:D99"/>
    <mergeCell ref="B100:D100"/>
    <mergeCell ref="B101:D101"/>
    <mergeCell ref="B102:D102"/>
    <mergeCell ref="B103:D103"/>
    <mergeCell ref="B104:D104"/>
    <mergeCell ref="B93:D93"/>
    <mergeCell ref="B82:D82"/>
    <mergeCell ref="B83:D83"/>
    <mergeCell ref="B84:D84"/>
    <mergeCell ref="B85:D85"/>
    <mergeCell ref="B86:D86"/>
    <mergeCell ref="B87:D87"/>
    <mergeCell ref="B88:D88"/>
    <mergeCell ref="B89:D89"/>
    <mergeCell ref="B90:D90"/>
    <mergeCell ref="B91:D91"/>
    <mergeCell ref="B92:D92"/>
    <mergeCell ref="B81:D81"/>
    <mergeCell ref="B69:D69"/>
    <mergeCell ref="A71:G71"/>
    <mergeCell ref="B72:D72"/>
    <mergeCell ref="B73:D73"/>
    <mergeCell ref="B74:D74"/>
    <mergeCell ref="B75:D75"/>
    <mergeCell ref="B76:D76"/>
    <mergeCell ref="B77:D77"/>
    <mergeCell ref="B78:D78"/>
    <mergeCell ref="B79:D79"/>
    <mergeCell ref="B80:D80"/>
    <mergeCell ref="B68:D68"/>
    <mergeCell ref="B46:C46"/>
    <mergeCell ref="B48:C48"/>
    <mergeCell ref="B49:C49"/>
    <mergeCell ref="B50:C50"/>
    <mergeCell ref="B51:C51"/>
    <mergeCell ref="B53:C53"/>
    <mergeCell ref="B54:C54"/>
    <mergeCell ref="B55:C55"/>
    <mergeCell ref="B57:C57"/>
    <mergeCell ref="B58:C58"/>
    <mergeCell ref="B59:C59"/>
    <mergeCell ref="B45:C45"/>
    <mergeCell ref="B3:E3"/>
    <mergeCell ref="B4:E4"/>
    <mergeCell ref="B6:E6"/>
    <mergeCell ref="B43:C43"/>
    <mergeCell ref="B44:C44"/>
  </mergeCells>
  <conditionalFormatting sqref="H12">
    <cfRule type="cellIs" dxfId="69" priority="68" operator="lessThan">
      <formula>$H$11</formula>
    </cfRule>
    <cfRule type="cellIs" dxfId="68" priority="69" operator="greaterThan">
      <formula>$H$11</formula>
    </cfRule>
    <cfRule type="cellIs" dxfId="67" priority="70" operator="equal">
      <formula>$H$11</formula>
    </cfRule>
  </conditionalFormatting>
  <conditionalFormatting sqref="H61">
    <cfRule type="expression" dxfId="66" priority="67">
      <formula>($G$61="ERROR?")</formula>
    </cfRule>
  </conditionalFormatting>
  <conditionalFormatting sqref="A18:C18 E18 A21:C21 E21 A24:C24 E24 A30:C30 A34:C34 A38:C38 E30 E34 E38 A76:G76 A81:G81 A86:G86 A91:G91 A96:G96 A101:G101 A112:G112 A116:G116">
    <cfRule type="expression" dxfId="65" priority="61">
      <formula>$B$5="SP"</formula>
    </cfRule>
    <cfRule type="expression" dxfId="64" priority="62">
      <formula>$B$5="P&amp;D"</formula>
    </cfRule>
    <cfRule type="expression" dxfId="63" priority="63">
      <formula>$B$5="MP"</formula>
    </cfRule>
    <cfRule type="expression" dxfId="62" priority="64">
      <formula>$B$5="MFR"</formula>
    </cfRule>
    <cfRule type="expression" dxfId="61" priority="65">
      <formula>$B$5="IS"</formula>
    </cfRule>
    <cfRule type="expression" dxfId="60" priority="66">
      <formula>$B$5="AA"</formula>
    </cfRule>
  </conditionalFormatting>
  <conditionalFormatting sqref="A1:H1">
    <cfRule type="expression" dxfId="59" priority="55">
      <formula>$B$5="SP"</formula>
    </cfRule>
    <cfRule type="expression" dxfId="58" priority="56">
      <formula>$B$5="P&amp;D"</formula>
    </cfRule>
    <cfRule type="expression" dxfId="57" priority="57">
      <formula>$B$5="MP"</formula>
    </cfRule>
    <cfRule type="expression" dxfId="56" priority="58">
      <formula>$B$5="MFR"</formula>
    </cfRule>
    <cfRule type="expression" dxfId="55" priority="59">
      <formula>$B$5="IS"</formula>
    </cfRule>
    <cfRule type="expression" dxfId="54" priority="60">
      <formula>$B$5="AA"</formula>
    </cfRule>
  </conditionalFormatting>
  <conditionalFormatting sqref="D18 D21 D24 F18:G18 F21:G21 F24:G24 D30 D34 D38 F30:G30 F34:G34 F38:G38">
    <cfRule type="expression" dxfId="53" priority="49">
      <formula>$B$5="SP"</formula>
    </cfRule>
    <cfRule type="expression" dxfId="52" priority="50">
      <formula>$B$5="P&amp;D"</formula>
    </cfRule>
    <cfRule type="expression" dxfId="51" priority="51">
      <formula>$B$5="MP"</formula>
    </cfRule>
    <cfRule type="expression" dxfId="50" priority="52">
      <formula>$B$5="MFR"</formula>
    </cfRule>
    <cfRule type="expression" dxfId="49" priority="53">
      <formula>$B$5="IS"</formula>
    </cfRule>
    <cfRule type="expression" dxfId="48" priority="54">
      <formula>$B$5="AA"</formula>
    </cfRule>
  </conditionalFormatting>
  <conditionalFormatting sqref="A42:G42 A47:G47 A52:G52 A56:G56 A63:G63 A71:G71 A108:G108 A121:G121 A128:G128 A141:G141 A146:G146 A165:B165 A167:B167 A169:G169 A179:G179 A186:H186">
    <cfRule type="expression" dxfId="47" priority="43">
      <formula>$B$5="SP"</formula>
    </cfRule>
    <cfRule type="expression" dxfId="46" priority="44">
      <formula>$B$5="P&amp;D"</formula>
    </cfRule>
    <cfRule type="expression" dxfId="45" priority="45">
      <formula>$B$5="MP"</formula>
    </cfRule>
    <cfRule type="expression" dxfId="44" priority="46">
      <formula>$B$5="MFR"</formula>
    </cfRule>
    <cfRule type="expression" dxfId="43" priority="47">
      <formula>$B$5="IS"</formula>
    </cfRule>
    <cfRule type="expression" dxfId="42" priority="48">
      <formula>$B$5="AA"</formula>
    </cfRule>
  </conditionalFormatting>
  <conditionalFormatting sqref="D165:G165 D167:G167">
    <cfRule type="expression" dxfId="41" priority="37">
      <formula>$B$5="SP"</formula>
    </cfRule>
    <cfRule type="expression" dxfId="40" priority="38">
      <formula>$B$5="P&amp;D"</formula>
    </cfRule>
    <cfRule type="expression" dxfId="39" priority="39">
      <formula>$B$5="MP"</formula>
    </cfRule>
    <cfRule type="expression" dxfId="38" priority="40">
      <formula>$B$5="MFR"</formula>
    </cfRule>
    <cfRule type="expression" dxfId="37" priority="41">
      <formula>$B$5="IS"</formula>
    </cfRule>
    <cfRule type="expression" dxfId="36" priority="42">
      <formula>$B$5="AA"</formula>
    </cfRule>
  </conditionalFormatting>
  <conditionalFormatting sqref="B3:E4 B6:E6 H3:H5 H9:H10 B9:B10 B13:B14 A31:C33 A35:C37 E31:E33 E35:E37 A72:G75 A77:G80 A82:G85 A87:G90 A92:G95 A97:G100 A102:G105 E123:G123 E69 C134:C136 C142 E143 C144 C147 E148 C149 C157 C165 C167 C172 A187:H191 A22:C23 E22:E23 A19:C20 E19:E20 A113:G115 A109:G111 E173:E177 A175:D177 E159:E163 A161:D163 A153:D156 E150:E156 B43:E46 B48:E51 B53:E55 B57:E59 B5:C5">
    <cfRule type="expression" dxfId="35" priority="36">
      <formula>$B$5="AA"</formula>
    </cfRule>
  </conditionalFormatting>
  <conditionalFormatting sqref="B3:E4 B6:E6 H3:H5 H9:H10 B9:B10 B13:B14 A31:C33 A35:C37 E31:E33 E35:E37 A72:G75 A77:G80 A82:G85 A87:G90 A92:G95 A97:G100 A102:G105 E123:G123 E69 C134:C136 C142 E143 C144 C147 E148 C149 C157 C165 C167 C172 A187:H191 A22:C23 E22:E23 A19:C20 E19:E20 A113:G115 A109:G111 E173:E177 A175:D177 E159:E163 A161:D163 A153:D156 E150:E156 B43:E46 B48:E51 B53:E55 B57:E59 B5:C5">
    <cfRule type="expression" dxfId="34" priority="35">
      <formula>$B$5="IS"</formula>
    </cfRule>
  </conditionalFormatting>
  <conditionalFormatting sqref="B3:E4 B6:E6 H3:H5 H9:H10 B9:B10 B13:B14 A31:C33 A35:C37 E31:E33 E35:E37 A72:G75 A77:G80 A82:G85 A87:G90 A92:G95 A97:G100 A102:G105 E123:G123 E69 C134:C136 C142 E143 C144 C147 E148 C149 C157 C165 C167 C172 A187:H191 A22:C23 E22:E23 A19:C20 E19:E20 A113:G115 A109:G111 E173:E177 A175:D177 E159:E163 A161:D163 A153:D156 E150:E156 B43:E46 B48:E51 B53:E55 B57:E59 B5:C5">
    <cfRule type="expression" dxfId="33" priority="34">
      <formula>$B$5="MFR"</formula>
    </cfRule>
  </conditionalFormatting>
  <conditionalFormatting sqref="B3:E4 B6:E6 H3:H5 H9:H10 B9:B10 B13:B14 A31:C33 A35:C37 E31:E33 E35:E37 A72:G75 A77:G80 A82:G85 A87:G90 A92:G95 A97:G100 A102:G105 E123:G123 E69 C134:C136 C142 E143 C144 C147 E148 C149 C157 C165 C167 C172 A187:H191 A22:C23 E22:E23 A19:C20 E19:E20 A113:G115 A109:G111 E173:E177 A175:D177 E159:E163 A161:D163 A153:D156 E150:E156 B43:E46 B48:E51 B53:E55 B57:E59 B5:C5">
    <cfRule type="expression" dxfId="32" priority="33">
      <formula>$B$5="MP"</formula>
    </cfRule>
  </conditionalFormatting>
  <conditionalFormatting sqref="B3:E4 B6:E6 H3:H5 H9:H10 B9:B10 B13:B14 A31:C33 A35:C37 E31:E33 E35:E37 A72:G75 A77:G80 A82:G85 A87:G90 A92:G95 A97:G100 A102:G105 E123:G123 E69 C134:C136 C142 E143 C144 C147 E148 C149 C157 C165 C167 C172 A187:H191 A22:C23 E22:E23 A19:C20 E19:E20 A113:G115 A109:G111 E173:E177 A175:D177 E159:E163 A161:D163 A153:D156 E150:E156 B43:E46 B48:E51 B53:E55 B57:E59 B5:C5">
    <cfRule type="expression" dxfId="31" priority="32">
      <formula>$B$5="P&amp;D"</formula>
    </cfRule>
  </conditionalFormatting>
  <conditionalFormatting sqref="B3:E4 B6:E6 H3:H5 H9:H10 B9:B10 B13:B14 A31:C33 A35:C37 E31:E33 E35:E37 A72:G75 A77:G80 A82:G85 A87:G90 A92:G95 A97:G100 A102:G105 E123:G123 E69 C134:C136 C142 E143 C144 C147 E148 C149 C157 C165 C167 C172 A187:H191 A22:C23 E22:E23 A19:C20 E19:E20 A113:G115 A109:G111 E173:E177 A175:D177 E159:E163 A161:D163 A153:D156 E150:E156 B43:E46 B48:E51 B53:E55 B57:E59 B5:C5">
    <cfRule type="expression" dxfId="30" priority="31">
      <formula>$B$5="SP"</formula>
    </cfRule>
  </conditionalFormatting>
  <conditionalFormatting sqref="H63 H121 H128 H141 H146 H165 H167 H169 H179">
    <cfRule type="expression" dxfId="29" priority="25">
      <formula>$B$5="SP"</formula>
    </cfRule>
    <cfRule type="expression" dxfId="28" priority="26">
      <formula>$B$5="P&amp;D"</formula>
    </cfRule>
    <cfRule type="expression" dxfId="27" priority="27">
      <formula>$B$5="MP"</formula>
    </cfRule>
    <cfRule type="expression" dxfId="26" priority="28">
      <formula>$B$5="MFR"</formula>
    </cfRule>
    <cfRule type="expression" dxfId="25" priority="29">
      <formula>$B$5="IS"</formula>
    </cfRule>
    <cfRule type="expression" dxfId="24" priority="30">
      <formula>$B$5="AA"</formula>
    </cfRule>
  </conditionalFormatting>
  <conditionalFormatting sqref="E43:E46">
    <cfRule type="cellIs" dxfId="23" priority="23" operator="greaterThan">
      <formula>$F43</formula>
    </cfRule>
    <cfRule type="cellIs" dxfId="22" priority="24" operator="lessThan">
      <formula>$F43</formula>
    </cfRule>
  </conditionalFormatting>
  <conditionalFormatting sqref="E57:E59 E53:E55 E48:E51">
    <cfRule type="cellIs" dxfId="21" priority="21" operator="greaterThan">
      <formula>$F48</formula>
    </cfRule>
    <cfRule type="cellIs" dxfId="20" priority="22" operator="lessThan">
      <formula>$F48</formula>
    </cfRule>
  </conditionalFormatting>
  <conditionalFormatting sqref="H6">
    <cfRule type="expression" dxfId="19" priority="10">
      <formula>IF(AND($B5="MFR",$H6&gt;7400000),$H$179)</formula>
    </cfRule>
    <cfRule type="expression" dxfId="18" priority="11">
      <formula>IF(AND($B5="SP",$H6&gt;300000),$H$179)</formula>
    </cfRule>
    <cfRule type="expression" dxfId="17" priority="12">
      <formula>IF(AND($B5="IS",$H6&gt;7400000),$H$179)</formula>
    </cfRule>
    <cfRule type="expression" dxfId="16" priority="13">
      <formula>IF(AND($B5="AA",$H6&gt;=5000000),$H$179)</formula>
    </cfRule>
    <cfRule type="expression" dxfId="15" priority="14">
      <formula>IF(AND($B5="AA",$H6&gt;=3000000,$H6&lt;=5000000),$H$179)</formula>
    </cfRule>
    <cfRule type="expression" dxfId="14" priority="15">
      <formula>$B$5="SP"</formula>
    </cfRule>
    <cfRule type="expression" dxfId="13" priority="16">
      <formula>$B$5="P&amp;D"</formula>
    </cfRule>
    <cfRule type="expression" dxfId="12" priority="17">
      <formula>$B$5="MP"</formula>
    </cfRule>
    <cfRule type="expression" dxfId="11" priority="18">
      <formula>$B$5="MFR"</formula>
    </cfRule>
    <cfRule type="expression" dxfId="10" priority="19">
      <formula>$B$5="IS"</formula>
    </cfRule>
    <cfRule type="expression" dxfId="9" priority="20">
      <formula>$B$5="AA"</formula>
    </cfRule>
  </conditionalFormatting>
  <conditionalFormatting sqref="H179">
    <cfRule type="expression" dxfId="8" priority="5">
      <formula>IF(AND($B5="MFR",$H6&gt;7400000),$H$179)</formula>
    </cfRule>
    <cfRule type="expression" dxfId="7" priority="6">
      <formula>IF(AND($B5="SP",$H6&gt;300000),$H$179)</formula>
    </cfRule>
    <cfRule type="expression" dxfId="6" priority="7">
      <formula>IF(AND($B5="IS",$H6&gt;7400000),$H$179)</formula>
    </cfRule>
    <cfRule type="expression" dxfId="5" priority="8">
      <formula>IF(AND($B5="AA",$H6&gt;=5000000),$H$179)</formula>
    </cfRule>
    <cfRule type="expression" dxfId="4" priority="9">
      <formula>IF(AND($B5="AA",$H6&gt;=3000000,$H6&lt;=5000000),$H$179)</formula>
    </cfRule>
  </conditionalFormatting>
  <conditionalFormatting sqref="H9">
    <cfRule type="expression" dxfId="3" priority="3">
      <formula>$H$9&gt;NOW()</formula>
    </cfRule>
  </conditionalFormatting>
  <printOptions horizontalCentered="1"/>
  <pageMargins left="0.25" right="0.25" top="0.25" bottom="0.5" header="0.25" footer="0.25"/>
  <pageSetup orientation="portrait" horizontalDpi="4294967292" verticalDpi="4294967292" r:id="rId1"/>
  <headerFooter>
    <oddFooter>&amp;L&amp;"Arial Narrow,Regular"&amp;8&amp;K000000&amp;D&amp;C&amp;"Arial Narrow,Regular"&amp;8&amp;K000000PBW Guide and Sample&amp;R&amp;"Arial Narrow,Regular"&amp;8&amp;K000000&amp;P of &amp;N</oddFooter>
  </headerFooter>
  <rowBreaks count="1" manualBreakCount="1">
    <brk id="63" max="16383" man="1"/>
  </rowBreaks>
  <ignoredErrors>
    <ignoredError sqref="H12 B9:B10 B13" unlockedFormula="1"/>
  </ignoredErrors>
  <extLst>
    <ext xmlns:x14="http://schemas.microsoft.com/office/spreadsheetml/2009/9/main" uri="{78C0D931-6437-407d-A8EE-F0AAD7539E65}">
      <x14:conditionalFormattings>
        <x14:conditionalFormatting xmlns:xm="http://schemas.microsoft.com/office/excel/2006/main">
          <x14:cfRule type="cellIs" priority="1" operator="between" id="{0805E178-A61A-B043-AFAB-854F3323CF25}">
            <xm:f>LOOKUPS!$A$4</xm:f>
            <xm:f>LOOKUPS!$A$5</xm:f>
            <x14:dxf>
              <font>
                <color rgb="FF9C5700"/>
              </font>
              <fill>
                <patternFill>
                  <bgColor rgb="FFFFEB9C"/>
                </patternFill>
              </fill>
            </x14:dxf>
          </x14:cfRule>
          <x14:cfRule type="expression" priority="2" id="{689ACF5F-8D7D-8B4B-8EA2-B4E4BF045802}">
            <xm:f>$H$9&lt;LOOKUPS!$A$5</xm:f>
            <x14:dxf>
              <font>
                <color rgb="FF9C0006"/>
              </font>
              <fill>
                <patternFill>
                  <bgColor rgb="FFFFC7CE"/>
                </patternFill>
              </fill>
            </x14:dxf>
          </x14:cfRule>
          <x14:cfRule type="expression" priority="4" id="{A43A7278-CCF1-D849-91C5-F150D6279A3B}">
            <xm:f>$H$9&gt;LOOKUPS!$A$2</xm:f>
            <x14:dxf>
              <font>
                <color rgb="FF9C0006"/>
              </font>
              <fill>
                <patternFill>
                  <bgColor rgb="FFFFC7CE"/>
                </patternFill>
              </fill>
            </x14:dxf>
          </x14:cfRule>
          <xm:sqref>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2042BB2E-6352-B548-A3F0-99A9F7501843}">
          <x14:formula1>
            <xm:f>LOOKUPS!$C$2:$C$8</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693AE-1D1F-4747-9F8E-508E5C8FBE48}">
  <sheetPr codeName="Sheet14"/>
  <dimension ref="A1:H8"/>
  <sheetViews>
    <sheetView showGridLines="0" zoomScaleNormal="100" workbookViewId="0"/>
  </sheetViews>
  <sheetFormatPr baseColWidth="10" defaultRowHeight="12"/>
  <cols>
    <col min="3" max="3" width="13.19921875" bestFit="1" customWidth="1"/>
    <col min="4" max="4" width="24.3984375" bestFit="1" customWidth="1"/>
    <col min="6" max="6" width="11.19921875" bestFit="1" customWidth="1"/>
    <col min="7" max="7" width="13.19921875" bestFit="1" customWidth="1"/>
  </cols>
  <sheetData>
    <row r="1" spans="1:8" ht="13">
      <c r="A1" s="33" t="s">
        <v>443</v>
      </c>
      <c r="C1" s="365" t="s">
        <v>269</v>
      </c>
      <c r="F1" s="375" t="s">
        <v>284</v>
      </c>
      <c r="G1" s="33"/>
      <c r="H1" s="33"/>
    </row>
    <row r="2" spans="1:8" ht="13">
      <c r="A2" s="77">
        <v>44986</v>
      </c>
      <c r="C2" s="367" t="s">
        <v>271</v>
      </c>
      <c r="D2" s="33" t="s">
        <v>277</v>
      </c>
      <c r="F2" s="376">
        <v>5000</v>
      </c>
      <c r="G2" s="376">
        <v>300000</v>
      </c>
      <c r="H2" s="33">
        <v>182.5</v>
      </c>
    </row>
    <row r="3" spans="1:8" ht="13">
      <c r="A3" s="77">
        <f ca="1">NOW()</f>
        <v>44986.704273263887</v>
      </c>
      <c r="B3" s="386" t="s">
        <v>304</v>
      </c>
      <c r="C3" s="366" t="s">
        <v>272</v>
      </c>
      <c r="D3" s="33" t="s">
        <v>278</v>
      </c>
      <c r="F3" s="376">
        <v>300000</v>
      </c>
      <c r="G3" s="376">
        <v>3000000</v>
      </c>
      <c r="H3" s="33">
        <v>365</v>
      </c>
    </row>
    <row r="4" spans="1:8" ht="13">
      <c r="A4" s="77">
        <f ca="1">NOW()-730</f>
        <v>44256.704273263887</v>
      </c>
      <c r="B4" s="386" t="s">
        <v>305</v>
      </c>
      <c r="C4" s="368" t="s">
        <v>273</v>
      </c>
      <c r="D4" s="33" t="s">
        <v>279</v>
      </c>
      <c r="F4" s="376">
        <v>3000000</v>
      </c>
      <c r="G4" s="376">
        <v>7400000</v>
      </c>
      <c r="H4" s="33">
        <v>547.5</v>
      </c>
    </row>
    <row r="5" spans="1:8" ht="13">
      <c r="A5" s="77">
        <f ca="1">NOW()-1460</f>
        <v>43526.704273263887</v>
      </c>
      <c r="B5" s="386" t="s">
        <v>306</v>
      </c>
      <c r="C5" s="369" t="s">
        <v>274</v>
      </c>
      <c r="D5" s="33" t="s">
        <v>280</v>
      </c>
      <c r="F5" s="376">
        <v>7400000</v>
      </c>
      <c r="G5" s="376">
        <v>15000000</v>
      </c>
      <c r="H5" s="33">
        <v>912.5</v>
      </c>
    </row>
    <row r="6" spans="1:8" ht="13">
      <c r="C6" s="370" t="s">
        <v>275</v>
      </c>
      <c r="D6" s="33" t="s">
        <v>281</v>
      </c>
      <c r="F6" s="376">
        <v>15000000</v>
      </c>
      <c r="G6" s="376">
        <v>30000000</v>
      </c>
      <c r="H6" s="33">
        <v>1095</v>
      </c>
    </row>
    <row r="7" spans="1:8" ht="13">
      <c r="C7" s="371" t="s">
        <v>276</v>
      </c>
      <c r="D7" s="33" t="s">
        <v>282</v>
      </c>
      <c r="F7" s="376">
        <v>30000000</v>
      </c>
      <c r="G7" s="376">
        <v>1000000000</v>
      </c>
      <c r="H7" s="33">
        <v>1277.5</v>
      </c>
    </row>
    <row r="8" spans="1:8" ht="13">
      <c r="C8" s="372" t="s">
        <v>101</v>
      </c>
      <c r="D8" s="373" t="s">
        <v>283</v>
      </c>
    </row>
  </sheetData>
  <sheetProtection algorithmName="SHA-512" hashValue="vfmQJB1qctYVvInUl/CyBMBfSBv91EicMAxGlwZ4coOO+jerWxSxhQ2G7vLkczsvrsLq0jJle/a+FcJprh2e1Q==" saltValue="xDtl5us8BUd1YVDKt7KKRQ==" spinCount="100000" sheet="1" objects="1" scenarios="1" selectLockedCells="1" selectUnlockedCells="1"/>
  <printOptions horizontalCentered="1"/>
  <pageMargins left="0.25" right="0.25"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CB6F7-1681-9A4B-9A78-55F722376CFE}">
  <sheetPr codeName="Sheet2">
    <tabColor theme="2" tint="-0.249977111117893"/>
  </sheetPr>
  <dimension ref="A1:D51"/>
  <sheetViews>
    <sheetView showGridLines="0" view="pageLayout" zoomScaleNormal="100" workbookViewId="0">
      <selection activeCell="A5" sqref="A5"/>
    </sheetView>
  </sheetViews>
  <sheetFormatPr baseColWidth="10" defaultColWidth="10.796875" defaultRowHeight="12"/>
  <cols>
    <col min="1" max="1" width="18" customWidth="1"/>
    <col min="2" max="2" width="9.59765625" customWidth="1"/>
    <col min="3" max="3" width="57.59765625" customWidth="1"/>
    <col min="4" max="4" width="18" customWidth="1"/>
  </cols>
  <sheetData>
    <row r="1" spans="1:4" ht="13">
      <c r="A1" s="80" t="s">
        <v>118</v>
      </c>
      <c r="B1" s="33"/>
      <c r="C1" s="68" t="str">
        <f>(PBW!$B$4)</f>
        <v>X</v>
      </c>
      <c r="D1" s="33"/>
    </row>
    <row r="2" spans="1:4" ht="13">
      <c r="A2" s="80" t="s">
        <v>119</v>
      </c>
      <c r="B2" s="33"/>
      <c r="C2" s="68" t="str">
        <f>(PBW!$B$3)</f>
        <v>X</v>
      </c>
      <c r="D2" s="33"/>
    </row>
    <row r="3" spans="1:4" ht="13">
      <c r="A3" s="33"/>
      <c r="B3" s="325" t="s">
        <v>372</v>
      </c>
      <c r="C3" s="33"/>
      <c r="D3" s="33"/>
    </row>
    <row r="4" spans="1:4" ht="13">
      <c r="A4" s="77">
        <f>(PBW!$H$9)</f>
        <v>44927</v>
      </c>
      <c r="B4" s="500">
        <f>INDEX(ENR!$B$19:$M$99,MATCH(YEAR($A$4),ENR!$A$19:$A$99,1),MATCH(MONTH($A$4),ENR!$B$18:$M$18,1))</f>
        <v>7976.68</v>
      </c>
      <c r="C4" s="33" t="s">
        <v>115</v>
      </c>
      <c r="D4" s="194">
        <f>(PBW!$H$9)</f>
        <v>44927</v>
      </c>
    </row>
    <row r="5" spans="1:4" ht="13">
      <c r="A5" s="82">
        <f>(PBW!$H$10)</f>
        <v>47300</v>
      </c>
      <c r="B5" s="500">
        <f>INDEX(ENR!$B$19:$M$99,MATCH(YEAR($A$5),ENR!$A$19:$A$99,1),MATCH(MONTH($A$5),ENR!$B$18:$M$18,1))</f>
        <v>14068.091119606019</v>
      </c>
      <c r="C5" s="33" t="s">
        <v>364</v>
      </c>
      <c r="D5" s="194">
        <f>(PBW!$H$10)</f>
        <v>47300</v>
      </c>
    </row>
    <row r="6" spans="1:4" ht="13">
      <c r="A6" s="76">
        <f>($B$5/$B$4)</f>
        <v>1.763652436804036</v>
      </c>
      <c r="B6" s="33"/>
      <c r="C6" s="33" t="s">
        <v>255</v>
      </c>
      <c r="D6" s="218">
        <f>(ENR)</f>
        <v>1.763652436804036</v>
      </c>
    </row>
    <row r="7" spans="1:4" ht="13">
      <c r="A7" s="81"/>
      <c r="B7" s="33"/>
      <c r="C7" s="33"/>
      <c r="D7" s="33"/>
    </row>
    <row r="8" spans="1:4" ht="13">
      <c r="A8" s="81"/>
      <c r="B8" s="33"/>
      <c r="C8" s="33"/>
      <c r="D8" s="33"/>
    </row>
    <row r="9" spans="1:4" ht="13">
      <c r="A9" s="177" t="s">
        <v>165</v>
      </c>
      <c r="B9" s="33"/>
      <c r="C9" s="33"/>
      <c r="D9" s="200" t="s">
        <v>166</v>
      </c>
    </row>
    <row r="10" spans="1:4" ht="13">
      <c r="A10" s="33"/>
      <c r="B10" s="33"/>
      <c r="C10" s="33"/>
      <c r="D10" s="199"/>
    </row>
    <row r="11" spans="1:4" ht="13">
      <c r="A11" s="67">
        <f>(PBW!$E$133)</f>
        <v>0</v>
      </c>
      <c r="B11" s="199"/>
      <c r="C11" s="33" t="s">
        <v>157</v>
      </c>
      <c r="D11" s="191">
        <f>(PBW!$E$133)</f>
        <v>0</v>
      </c>
    </row>
    <row r="12" spans="1:4" ht="13">
      <c r="A12" s="69">
        <f>(PBW!$E$137)</f>
        <v>0</v>
      </c>
      <c r="B12" s="199"/>
      <c r="C12" s="33" t="s">
        <v>158</v>
      </c>
      <c r="D12" s="192">
        <f>(PBW!$E$137)</f>
        <v>0</v>
      </c>
    </row>
    <row r="13" spans="1:4" ht="13">
      <c r="A13" s="195">
        <f>SUM(A$11:A$12)</f>
        <v>0</v>
      </c>
      <c r="B13" s="199"/>
      <c r="C13" s="33" t="s">
        <v>159</v>
      </c>
      <c r="D13" s="196">
        <f>SUM(D$11:D$12)</f>
        <v>0</v>
      </c>
    </row>
    <row r="14" spans="1:4" ht="13">
      <c r="A14" s="67">
        <f>(PBW!$E$134)</f>
        <v>0</v>
      </c>
      <c r="B14" s="215">
        <f>(PBW!$C$134)</f>
        <v>0</v>
      </c>
      <c r="C14" s="33" t="s">
        <v>108</v>
      </c>
      <c r="D14" s="191">
        <f>(PBW!$E$134)</f>
        <v>0</v>
      </c>
    </row>
    <row r="15" spans="1:4" ht="13">
      <c r="A15" s="67">
        <f>(PBW!$E$135)</f>
        <v>0</v>
      </c>
      <c r="B15" s="215">
        <f>(PBW!$C$135)</f>
        <v>0</v>
      </c>
      <c r="C15" s="33" t="s">
        <v>437</v>
      </c>
      <c r="D15" s="191">
        <f>(PBW!$E$135)</f>
        <v>0</v>
      </c>
    </row>
    <row r="16" spans="1:4" ht="13">
      <c r="A16" s="69">
        <f>(PBW!$E$136)</f>
        <v>0</v>
      </c>
      <c r="B16" s="215">
        <f>(PBW!$C$136)</f>
        <v>0</v>
      </c>
      <c r="C16" s="33" t="s">
        <v>117</v>
      </c>
      <c r="D16" s="192">
        <f>(PBW!$E$136)</f>
        <v>0</v>
      </c>
    </row>
    <row r="17" spans="1:4" ht="13">
      <c r="A17" s="195">
        <f>(PBW!$E$138)</f>
        <v>0</v>
      </c>
      <c r="B17" s="215"/>
      <c r="C17" s="33" t="s">
        <v>160</v>
      </c>
      <c r="D17" s="196">
        <f>(PBW!$E$138)</f>
        <v>0</v>
      </c>
    </row>
    <row r="18" spans="1:4" ht="13">
      <c r="A18" s="69">
        <f>(A$19-A$17)</f>
        <v>0</v>
      </c>
      <c r="B18" s="218">
        <f>($A$6)</f>
        <v>1.763652436804036</v>
      </c>
      <c r="C18" s="33" t="s">
        <v>254</v>
      </c>
      <c r="D18" s="192">
        <f>(D$19-D$17)</f>
        <v>0</v>
      </c>
    </row>
    <row r="19" spans="1:4" ht="13">
      <c r="A19" s="195">
        <f>ROUND(($A$17*$B$18),-3)</f>
        <v>0</v>
      </c>
      <c r="B19" s="219"/>
      <c r="C19" s="33" t="s">
        <v>161</v>
      </c>
      <c r="D19" s="196">
        <f>(TOTCONST)</f>
        <v>0</v>
      </c>
    </row>
    <row r="20" spans="1:4" ht="13">
      <c r="A20" s="67"/>
      <c r="B20" s="219"/>
      <c r="C20" s="33"/>
      <c r="D20" s="191"/>
    </row>
    <row r="21" spans="1:4" ht="13">
      <c r="A21" s="67"/>
      <c r="B21" s="219"/>
      <c r="C21" s="33"/>
      <c r="D21" s="191"/>
    </row>
    <row r="22" spans="1:4" ht="13">
      <c r="A22" s="67"/>
      <c r="B22" s="219"/>
      <c r="C22" s="33"/>
      <c r="D22" s="191"/>
    </row>
    <row r="23" spans="1:4" ht="13">
      <c r="A23" s="197">
        <f>($A$19)</f>
        <v>0</v>
      </c>
      <c r="B23" s="199"/>
      <c r="C23" s="33" t="s">
        <v>122</v>
      </c>
      <c r="D23" s="198">
        <f>(TOTCONST)</f>
        <v>0</v>
      </c>
    </row>
    <row r="24" spans="1:4" ht="13">
      <c r="A24" s="67"/>
      <c r="B24" s="199"/>
      <c r="C24" s="33"/>
      <c r="D24" s="191"/>
    </row>
    <row r="25" spans="1:4" ht="13">
      <c r="A25" s="67">
        <f>IF($A$23=0,0,ROUND($A$23*$B25,-3))</f>
        <v>0</v>
      </c>
      <c r="B25" s="215" t="str">
        <f>(PBW_Summary!$G$29)</f>
        <v/>
      </c>
      <c r="C25" s="33" t="s">
        <v>109</v>
      </c>
      <c r="D25" s="191">
        <f>(PBW!$H$141)</f>
        <v>0</v>
      </c>
    </row>
    <row r="26" spans="1:4" ht="13">
      <c r="A26" s="69">
        <f>IF($A$23=0,0,ROUND($A$23*$B26,-3))</f>
        <v>0</v>
      </c>
      <c r="B26" s="215" t="str">
        <f>(PBW_Summary!$G$30)</f>
        <v/>
      </c>
      <c r="C26" s="33" t="s">
        <v>110</v>
      </c>
      <c r="D26" s="192">
        <f>(PBW!$H$146)</f>
        <v>0</v>
      </c>
    </row>
    <row r="27" spans="1:4" ht="13">
      <c r="A27" s="197">
        <f>ROUND(SUM(A$25:A$26),-3)</f>
        <v>0</v>
      </c>
      <c r="B27" s="199"/>
      <c r="C27" s="33" t="s">
        <v>111</v>
      </c>
      <c r="D27" s="198">
        <f>ROUND(SUM(D$25:D$26),-3)</f>
        <v>0</v>
      </c>
    </row>
    <row r="28" spans="1:4" ht="13">
      <c r="A28" s="67"/>
      <c r="B28" s="199"/>
      <c r="C28" s="33"/>
      <c r="D28" s="191"/>
    </row>
    <row r="29" spans="1:4" ht="13">
      <c r="A29" s="197">
        <f>IF($A$23=0,0,ROUND($A$23*$B29,-3))</f>
        <v>0</v>
      </c>
      <c r="B29" s="215" t="str">
        <f>(PBW_Summary!$G$32)</f>
        <v/>
      </c>
      <c r="C29" s="33" t="s">
        <v>112</v>
      </c>
      <c r="D29" s="198">
        <f>(PBW!$H$165)</f>
        <v>0</v>
      </c>
    </row>
    <row r="30" spans="1:4" ht="13">
      <c r="A30" s="67"/>
      <c r="B30" s="216"/>
      <c r="C30" s="33"/>
      <c r="D30" s="191"/>
    </row>
    <row r="31" spans="1:4" ht="13">
      <c r="A31" s="197">
        <f>IF($A$23=0,0,ROUND($A$23*$B31,-3))</f>
        <v>0</v>
      </c>
      <c r="B31" s="215" t="str">
        <f>(PBW_Summary!$G$34)</f>
        <v/>
      </c>
      <c r="C31" s="33" t="s">
        <v>113</v>
      </c>
      <c r="D31" s="198">
        <f>(PBW!$H$167)</f>
        <v>0</v>
      </c>
    </row>
    <row r="32" spans="1:4" ht="13">
      <c r="A32" s="67"/>
      <c r="B32" s="216"/>
      <c r="C32" s="33"/>
      <c r="D32" s="191"/>
    </row>
    <row r="33" spans="1:4" ht="13">
      <c r="A33" s="67">
        <f>ROUND((PBW!$G$158),-3)</f>
        <v>0</v>
      </c>
      <c r="B33" s="215" t="str">
        <f>(PBW_Summary!$G$37)</f>
        <v/>
      </c>
      <c r="C33" s="33" t="s">
        <v>162</v>
      </c>
      <c r="D33" s="191">
        <f>(PBW!$G$158)</f>
        <v>0</v>
      </c>
    </row>
    <row r="34" spans="1:4" ht="13">
      <c r="A34" s="69">
        <f>ROUND((PBW!$G$171),-3)</f>
        <v>0</v>
      </c>
      <c r="B34" s="215" t="str">
        <f>(PBW_Summary!$G$38)</f>
        <v/>
      </c>
      <c r="C34" s="33" t="s">
        <v>163</v>
      </c>
      <c r="D34" s="192">
        <f>(PBW!$G$171)</f>
        <v>0</v>
      </c>
    </row>
    <row r="35" spans="1:4" ht="13">
      <c r="A35" s="197">
        <f>ROUND(SUM(A$33:A$34),-3)</f>
        <v>0</v>
      </c>
      <c r="B35" s="215" t="str">
        <f>(PBW_Summary!$G$36)</f>
        <v/>
      </c>
      <c r="C35" s="33" t="s">
        <v>164</v>
      </c>
      <c r="D35" s="198">
        <f>(PBW!$H$169)</f>
        <v>0</v>
      </c>
    </row>
    <row r="36" spans="1:4" ht="14" thickBot="1">
      <c r="A36" s="67"/>
      <c r="B36" s="199"/>
      <c r="C36" s="33"/>
      <c r="D36" s="191"/>
    </row>
    <row r="37" spans="1:4" ht="14" thickBot="1">
      <c r="A37" s="71">
        <f>ROUND(SUM(A$23,A$27,A$29,A$31,A$35),-3)</f>
        <v>0</v>
      </c>
      <c r="B37" s="220"/>
      <c r="C37" s="68" t="s">
        <v>114</v>
      </c>
      <c r="D37" s="193">
        <f>(PBW!$H$179)</f>
        <v>0</v>
      </c>
    </row>
    <row r="38" spans="1:4" ht="13">
      <c r="A38" s="33"/>
      <c r="B38" s="33"/>
      <c r="C38" s="33"/>
      <c r="D38" s="176"/>
    </row>
    <row r="39" spans="1:4" ht="13">
      <c r="A39" s="79" t="s">
        <v>116</v>
      </c>
      <c r="B39" s="33"/>
      <c r="C39" s="33"/>
      <c r="D39" s="176"/>
    </row>
    <row r="40" spans="1:4" ht="13">
      <c r="A40" s="33"/>
      <c r="B40" s="33"/>
      <c r="C40" s="33"/>
      <c r="D40" s="176"/>
    </row>
    <row r="41" spans="1:4" ht="12" customHeight="1">
      <c r="A41" s="543" t="s">
        <v>121</v>
      </c>
      <c r="B41" s="543"/>
      <c r="C41" s="543"/>
      <c r="D41" s="543"/>
    </row>
    <row r="42" spans="1:4" ht="12" customHeight="1">
      <c r="A42" s="543"/>
      <c r="B42" s="543"/>
      <c r="C42" s="543"/>
      <c r="D42" s="543"/>
    </row>
    <row r="43" spans="1:4" ht="12" customHeight="1">
      <c r="A43" s="543"/>
      <c r="B43" s="543"/>
      <c r="C43" s="543"/>
      <c r="D43" s="543"/>
    </row>
    <row r="44" spans="1:4" ht="12" customHeight="1">
      <c r="A44" s="543"/>
      <c r="B44" s="543"/>
      <c r="C44" s="543"/>
      <c r="D44" s="543"/>
    </row>
    <row r="45" spans="1:4" ht="12" customHeight="1">
      <c r="A45" s="543"/>
      <c r="B45" s="543"/>
      <c r="C45" s="543"/>
      <c r="D45" s="543"/>
    </row>
    <row r="46" spans="1:4" ht="12" customHeight="1">
      <c r="A46" s="543"/>
      <c r="B46" s="543"/>
      <c r="C46" s="543"/>
      <c r="D46" s="543"/>
    </row>
    <row r="47" spans="1:4" ht="12" customHeight="1">
      <c r="A47" s="543"/>
      <c r="B47" s="543"/>
      <c r="C47" s="543"/>
      <c r="D47" s="543"/>
    </row>
    <row r="48" spans="1:4" ht="12" customHeight="1">
      <c r="A48" s="543"/>
      <c r="B48" s="543"/>
      <c r="C48" s="543"/>
      <c r="D48" s="543"/>
    </row>
    <row r="49" spans="1:4" ht="12" customHeight="1">
      <c r="A49" s="543"/>
      <c r="B49" s="543"/>
      <c r="C49" s="543"/>
      <c r="D49" s="543"/>
    </row>
    <row r="50" spans="1:4" ht="12" customHeight="1">
      <c r="A50" s="543"/>
      <c r="B50" s="543"/>
      <c r="C50" s="543"/>
      <c r="D50" s="543"/>
    </row>
    <row r="51" spans="1:4" ht="12" customHeight="1">
      <c r="A51" s="543"/>
      <c r="B51" s="543"/>
      <c r="C51" s="543"/>
      <c r="D51" s="543"/>
    </row>
  </sheetData>
  <sheetProtection algorithmName="SHA-512" hashValue="KTUgqKOwueH6bjE3InKdtC3FvjvKjPlL5m436ZjzadGLJuomYlF8xtUGyBjKkhlfL0b6aU6hJAidYpREfhf14w==" saltValue="Zj8h2ENUrOQRdhqwzeIsHg==" spinCount="100000" sheet="1" selectLockedCells="1"/>
  <mergeCells count="1">
    <mergeCell ref="A41:D51"/>
  </mergeCells>
  <pageMargins left="0.5" right="0.5" top="0.75" bottom="0.5" header="0.25" footer="0.25"/>
  <pageSetup orientation="portrait" horizontalDpi="0" verticalDpi="0"/>
  <headerFooter>
    <oddHeader>&amp;C&amp;"Arial Narrow Bold,Bold"&amp;18&amp;K000000Quick Inflation Date Update (QIDU) Worksheet</oddHeader>
    <oddFooter>&amp;L&amp;"Arial Narrow,Regular"&amp;8&amp;D&amp;C&amp;"Arial Narrow,Regular"&amp;8PBW Quick Inflation Date Upate (QIDU)
&amp;R&amp;"Arial Narrow,Regular"&amp;8&amp;P of &amp;N</oddFooter>
  </headerFooter>
  <ignoredErrors>
    <ignoredError sqref="A5"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sheetPr>
  <dimension ref="A1:U59"/>
  <sheetViews>
    <sheetView showGridLines="0" view="pageLayout" workbookViewId="0">
      <selection activeCell="B3" sqref="B3:E3"/>
    </sheetView>
  </sheetViews>
  <sheetFormatPr baseColWidth="10" defaultColWidth="9.19921875" defaultRowHeight="12"/>
  <cols>
    <col min="1" max="1" width="21" customWidth="1"/>
    <col min="2" max="2" width="12.3984375" customWidth="1"/>
    <col min="3" max="3" width="11.796875" customWidth="1"/>
    <col min="4" max="4" width="11.796875" bestFit="1" customWidth="1"/>
    <col min="5" max="5" width="23.59765625" customWidth="1"/>
    <col min="8" max="8" width="13.796875" customWidth="1"/>
    <col min="9" max="10" width="10.796875" customWidth="1"/>
    <col min="11" max="11" width="53.59765625" bestFit="1" customWidth="1"/>
  </cols>
  <sheetData>
    <row r="1" spans="1:21" ht="13">
      <c r="A1" s="93" t="s">
        <v>20</v>
      </c>
      <c r="B1" s="94"/>
      <c r="C1" s="94"/>
      <c r="D1" s="94"/>
      <c r="E1" s="94"/>
      <c r="F1" s="94"/>
      <c r="G1" s="94"/>
      <c r="H1" s="95" t="str">
        <f>"PROJECT BUDGET WORKSHEET SUMMARY"&amp;" "&amp;VERSION</f>
        <v>PROJECT BUDGET WORKSHEET SUMMARY Rev. 2023-03</v>
      </c>
      <c r="I1" s="546" t="s">
        <v>228</v>
      </c>
      <c r="J1" s="547"/>
      <c r="K1" s="547"/>
      <c r="L1" s="547"/>
      <c r="M1" s="547"/>
      <c r="N1" s="547"/>
      <c r="O1" s="547"/>
    </row>
    <row r="2" spans="1:21">
      <c r="A2" s="5"/>
      <c r="B2" s="5"/>
      <c r="C2" s="5"/>
      <c r="D2" s="5"/>
      <c r="E2" s="5"/>
      <c r="F2" s="1" t="s">
        <v>21</v>
      </c>
      <c r="G2" s="5"/>
      <c r="H2" s="5"/>
      <c r="I2" s="398">
        <f>(PBW!$H$63)</f>
        <v>0</v>
      </c>
      <c r="J2" s="5"/>
      <c r="K2" s="403" t="s">
        <v>138</v>
      </c>
      <c r="L2" s="403"/>
      <c r="M2" s="403"/>
      <c r="N2" s="403"/>
      <c r="O2" s="403"/>
      <c r="P2" s="5"/>
      <c r="Q2" s="5"/>
      <c r="R2" s="5"/>
      <c r="S2" s="5"/>
      <c r="T2" s="5"/>
      <c r="U2" s="5"/>
    </row>
    <row r="3" spans="1:21">
      <c r="A3" s="2" t="s">
        <v>22</v>
      </c>
      <c r="B3" s="548" t="str">
        <f>UPPER(PBW!$B$3)</f>
        <v>X</v>
      </c>
      <c r="C3" s="548"/>
      <c r="D3" s="548"/>
      <c r="E3" s="548"/>
      <c r="F3" s="1" t="s">
        <v>174</v>
      </c>
      <c r="G3" s="5"/>
      <c r="H3" s="25">
        <f ca="1">(PBW!$H$3)</f>
        <v>44986.704273263887</v>
      </c>
      <c r="I3" s="398">
        <f>(PBW!$H$69)</f>
        <v>0</v>
      </c>
      <c r="J3" s="5"/>
      <c r="K3" s="403" t="s">
        <v>222</v>
      </c>
      <c r="L3" s="403"/>
      <c r="M3" s="403"/>
      <c r="N3" s="403"/>
      <c r="O3" s="403"/>
      <c r="P3" s="5"/>
      <c r="Q3" s="5"/>
      <c r="R3" s="5"/>
      <c r="S3" s="5"/>
      <c r="T3" s="5"/>
      <c r="U3" s="5"/>
    </row>
    <row r="4" spans="1:21">
      <c r="A4" s="2" t="s">
        <v>102</v>
      </c>
      <c r="B4" s="549" t="str">
        <f>UPPER(PBW!$B$4)</f>
        <v>X</v>
      </c>
      <c r="C4" s="549"/>
      <c r="D4" s="549"/>
      <c r="E4" s="549"/>
      <c r="F4" s="1" t="s">
        <v>175</v>
      </c>
      <c r="G4" s="5"/>
      <c r="H4" s="512" t="str">
        <f>UPPER(PBW!$H$4)</f>
        <v>XXX</v>
      </c>
      <c r="I4" s="398">
        <f>(PBW!$H$106)</f>
        <v>0</v>
      </c>
      <c r="J4" s="5"/>
      <c r="K4" s="403" t="s">
        <v>136</v>
      </c>
      <c r="L4" s="403"/>
      <c r="M4" s="403"/>
      <c r="N4" s="403"/>
      <c r="O4" s="403"/>
      <c r="P4" s="5"/>
      <c r="Q4" s="5"/>
      <c r="R4" s="5"/>
      <c r="S4" s="5"/>
      <c r="T4" s="5"/>
      <c r="U4" s="5"/>
    </row>
    <row r="5" spans="1:21">
      <c r="A5" s="11" t="s">
        <v>270</v>
      </c>
      <c r="B5" s="3" t="str">
        <f>UPPER(PBW!$C$5)</f>
        <v>UNSPECIFIED</v>
      </c>
      <c r="C5" s="5"/>
      <c r="D5" s="5"/>
      <c r="E5" s="5"/>
      <c r="F5" s="5" t="s">
        <v>53</v>
      </c>
      <c r="G5" s="5"/>
      <c r="H5" s="26" t="str">
        <f>UPPER(PBW!$H$5)</f>
        <v>XXX</v>
      </c>
      <c r="I5" s="399">
        <f>(PBW!$H$117)</f>
        <v>0</v>
      </c>
      <c r="J5" s="5"/>
      <c r="K5" s="403" t="s">
        <v>230</v>
      </c>
      <c r="L5" s="403"/>
      <c r="M5" s="403"/>
      <c r="N5" s="403"/>
      <c r="O5" s="403"/>
      <c r="P5" s="5"/>
      <c r="Q5" s="5"/>
      <c r="R5" s="5"/>
      <c r="S5" s="5"/>
      <c r="T5" s="5"/>
      <c r="U5" s="5"/>
    </row>
    <row r="6" spans="1:21">
      <c r="A6" s="2" t="s">
        <v>103</v>
      </c>
      <c r="B6" s="549" t="str">
        <f>UPPER(PBW!$B$6)</f>
        <v>X</v>
      </c>
      <c r="C6" s="549"/>
      <c r="D6" s="549"/>
      <c r="E6" s="549"/>
      <c r="F6" s="2" t="s">
        <v>23</v>
      </c>
      <c r="G6" s="5"/>
      <c r="H6" s="84">
        <f>(PBW!$H$6)</f>
        <v>0</v>
      </c>
      <c r="I6" s="400">
        <f>(PBW!$H$119)</f>
        <v>0</v>
      </c>
      <c r="J6" s="11"/>
      <c r="K6" s="405" t="s">
        <v>137</v>
      </c>
      <c r="L6" s="403"/>
      <c r="M6" s="403"/>
      <c r="N6" s="403"/>
      <c r="O6" s="403"/>
      <c r="P6" s="5"/>
      <c r="Q6" s="5"/>
      <c r="R6" s="5"/>
      <c r="S6" s="5"/>
      <c r="T6" s="5"/>
      <c r="U6" s="5"/>
    </row>
    <row r="7" spans="1:21">
      <c r="A7" s="5"/>
      <c r="B7" s="5"/>
      <c r="C7" s="5"/>
      <c r="D7" s="5"/>
      <c r="E7" s="5"/>
      <c r="F7" s="5"/>
      <c r="G7" s="5"/>
      <c r="H7" s="5"/>
      <c r="I7" s="398">
        <f>ROUND(($I$6*$J$7),-3)</f>
        <v>0</v>
      </c>
      <c r="J7" s="406">
        <f>(PBW!$C$134)</f>
        <v>0</v>
      </c>
      <c r="K7" s="403" t="s">
        <v>223</v>
      </c>
      <c r="L7" s="403"/>
      <c r="M7" s="403"/>
      <c r="N7" s="403"/>
      <c r="O7" s="403"/>
      <c r="P7" s="5"/>
      <c r="Q7" s="5"/>
      <c r="R7" s="5"/>
      <c r="S7" s="5"/>
      <c r="T7" s="5"/>
      <c r="U7" s="5"/>
    </row>
    <row r="8" spans="1:21">
      <c r="A8" s="2" t="s">
        <v>24</v>
      </c>
      <c r="B8" s="5"/>
      <c r="C8" s="5"/>
      <c r="D8" s="5"/>
      <c r="E8" s="5"/>
      <c r="F8" s="5"/>
      <c r="G8" s="5"/>
      <c r="H8" s="5"/>
      <c r="I8" s="398">
        <f>ROUND(($I$6*$J$8),-3)</f>
        <v>0</v>
      </c>
      <c r="J8" s="406">
        <f>(PBW!$C$136)</f>
        <v>0</v>
      </c>
      <c r="K8" s="403" t="s">
        <v>224</v>
      </c>
      <c r="L8" s="403"/>
      <c r="M8" s="403"/>
      <c r="N8" s="403"/>
      <c r="O8" s="403"/>
      <c r="P8" s="5"/>
      <c r="Q8" s="5"/>
      <c r="R8" s="5"/>
      <c r="S8" s="5"/>
      <c r="T8" s="5"/>
      <c r="U8" s="5"/>
    </row>
    <row r="9" spans="1:21">
      <c r="A9" s="1" t="s">
        <v>25</v>
      </c>
      <c r="B9" s="28">
        <f>(PBW!$B$9)</f>
        <v>0</v>
      </c>
      <c r="C9" s="5"/>
      <c r="D9" s="5"/>
      <c r="E9" s="5"/>
      <c r="F9" s="1" t="s">
        <v>62</v>
      </c>
      <c r="G9" s="5"/>
      <c r="H9" s="513">
        <f>(PBW!$H$9)</f>
        <v>44927</v>
      </c>
      <c r="I9" s="401">
        <f>(PBW!$H$123)</f>
        <v>0</v>
      </c>
      <c r="J9" s="5"/>
      <c r="K9" s="403" t="s">
        <v>84</v>
      </c>
      <c r="L9" s="403"/>
      <c r="M9" s="403"/>
      <c r="N9" s="403"/>
      <c r="O9" s="403"/>
      <c r="P9" s="5"/>
      <c r="Q9" s="5"/>
      <c r="R9" s="5"/>
      <c r="S9" s="5"/>
      <c r="T9" s="5"/>
      <c r="U9" s="5"/>
    </row>
    <row r="10" spans="1:21">
      <c r="A10" s="1" t="s">
        <v>26</v>
      </c>
      <c r="B10" s="28">
        <f>(PBW!$B$10)</f>
        <v>0</v>
      </c>
      <c r="C10" s="4">
        <f>(PBW!$C$10)</f>
        <v>0</v>
      </c>
      <c r="D10" s="5" t="s">
        <v>58</v>
      </c>
      <c r="E10" s="5"/>
      <c r="F10" s="1" t="s">
        <v>252</v>
      </c>
      <c r="G10" s="5"/>
      <c r="H10" s="5">
        <f>(PBW!$G$9)</f>
        <v>7976.68</v>
      </c>
      <c r="I10" s="400">
        <f>(PBW!$H$121)</f>
        <v>0</v>
      </c>
      <c r="J10" s="11"/>
      <c r="K10" s="405" t="s">
        <v>225</v>
      </c>
      <c r="L10" s="403"/>
      <c r="M10" s="403"/>
      <c r="N10" s="403"/>
      <c r="O10" s="403"/>
      <c r="P10" s="5"/>
      <c r="Q10" s="5"/>
      <c r="R10" s="5"/>
      <c r="S10" s="5"/>
      <c r="T10" s="5"/>
      <c r="U10" s="5"/>
    </row>
    <row r="11" spans="1:21">
      <c r="A11" s="5"/>
      <c r="B11" s="3"/>
      <c r="C11" s="5"/>
      <c r="D11" s="5"/>
      <c r="E11" s="5"/>
      <c r="F11" s="1" t="s">
        <v>249</v>
      </c>
      <c r="G11" s="5"/>
      <c r="H11" s="514">
        <f>(PBW!$H$10)</f>
        <v>47300</v>
      </c>
      <c r="I11" s="401">
        <f>ROUND(($I$10*$J$11),-3)</f>
        <v>0</v>
      </c>
      <c r="J11" s="407">
        <f>(ENR)</f>
        <v>1.763652436804036</v>
      </c>
      <c r="K11" s="403" t="s">
        <v>226</v>
      </c>
      <c r="L11" s="403"/>
      <c r="M11" s="403"/>
      <c r="N11" s="403"/>
      <c r="O11" s="403"/>
      <c r="P11" s="5"/>
      <c r="Q11" s="5"/>
      <c r="R11" s="5"/>
      <c r="S11" s="5"/>
      <c r="T11" s="5"/>
      <c r="U11" s="5"/>
    </row>
    <row r="12" spans="1:21">
      <c r="A12" s="5"/>
      <c r="B12" s="3"/>
      <c r="C12" s="5"/>
      <c r="D12" s="5"/>
      <c r="E12" s="5"/>
      <c r="F12" s="1" t="s">
        <v>251</v>
      </c>
      <c r="G12" s="5"/>
      <c r="H12" s="443">
        <f>(PBW!$G$10)</f>
        <v>14068.091119606019</v>
      </c>
      <c r="I12" s="400">
        <f>($I$11-$I$10)</f>
        <v>0</v>
      </c>
      <c r="J12" s="345"/>
      <c r="K12" s="405" t="s">
        <v>227</v>
      </c>
      <c r="L12" s="403"/>
      <c r="M12" s="403"/>
      <c r="N12" s="403"/>
      <c r="O12" s="403"/>
      <c r="P12" s="5"/>
      <c r="Q12" s="5"/>
      <c r="R12" s="5"/>
      <c r="S12" s="5"/>
      <c r="T12" s="5"/>
      <c r="U12" s="5"/>
    </row>
    <row r="13" spans="1:21">
      <c r="A13" s="2" t="s">
        <v>27</v>
      </c>
      <c r="B13" s="3"/>
      <c r="C13" s="5"/>
      <c r="D13" s="5"/>
      <c r="E13" s="5"/>
      <c r="F13" s="1" t="s">
        <v>28</v>
      </c>
      <c r="G13" s="5"/>
      <c r="H13" s="214">
        <f>(ENR)</f>
        <v>1.763652436804036</v>
      </c>
      <c r="I13" s="5"/>
      <c r="J13" s="5"/>
      <c r="K13" s="5"/>
      <c r="L13" s="5"/>
      <c r="M13" s="5"/>
      <c r="N13" s="5"/>
      <c r="O13" s="5"/>
      <c r="P13" s="5"/>
      <c r="Q13" s="5"/>
      <c r="R13" s="5"/>
      <c r="S13" s="5"/>
      <c r="T13" s="5"/>
      <c r="U13" s="5"/>
    </row>
    <row r="14" spans="1:21" ht="13">
      <c r="A14" s="1" t="s">
        <v>29</v>
      </c>
      <c r="B14" s="28">
        <f>PBW!B13</f>
        <v>0</v>
      </c>
      <c r="C14" s="5"/>
      <c r="D14" s="5"/>
      <c r="E14" s="5"/>
      <c r="F14" s="5"/>
      <c r="G14" s="5"/>
      <c r="H14" s="5"/>
      <c r="I14" s="546" t="s">
        <v>229</v>
      </c>
      <c r="J14" s="547"/>
      <c r="K14" s="547"/>
      <c r="L14" s="547"/>
      <c r="M14" s="547"/>
      <c r="N14" s="547"/>
      <c r="O14" s="547"/>
      <c r="P14" s="5"/>
      <c r="Q14" s="5"/>
      <c r="R14" s="5"/>
      <c r="S14" s="5"/>
      <c r="T14" s="5"/>
      <c r="U14" s="5"/>
    </row>
    <row r="15" spans="1:21">
      <c r="A15" s="1" t="s">
        <v>30</v>
      </c>
      <c r="B15" s="28">
        <f>PBW!B14</f>
        <v>0</v>
      </c>
      <c r="C15" s="4">
        <f>PBW!C14</f>
        <v>0</v>
      </c>
      <c r="D15" s="5" t="s">
        <v>59</v>
      </c>
      <c r="E15" s="5"/>
      <c r="F15" s="1" t="s">
        <v>173</v>
      </c>
      <c r="G15" s="5"/>
      <c r="H15" s="513" t="str">
        <f>(PBW!$H$14)</f>
        <v/>
      </c>
      <c r="I15" s="398">
        <f>(PBW!$H$117)</f>
        <v>0</v>
      </c>
      <c r="J15" s="5"/>
      <c r="K15" s="403" t="s">
        <v>231</v>
      </c>
      <c r="L15" s="5"/>
      <c r="M15" s="5"/>
      <c r="N15" s="5"/>
      <c r="O15" s="5"/>
      <c r="P15" s="5"/>
      <c r="Q15" s="5"/>
      <c r="R15" s="5"/>
      <c r="S15" s="5"/>
      <c r="T15" s="5"/>
      <c r="U15" s="5"/>
    </row>
    <row r="16" spans="1:21">
      <c r="A16" s="1"/>
      <c r="B16" s="3"/>
      <c r="C16" s="4"/>
      <c r="D16" s="5"/>
      <c r="E16" s="5"/>
      <c r="F16" s="1"/>
      <c r="G16" s="5"/>
      <c r="H16" s="85"/>
      <c r="I16" s="398">
        <f>(PBW!$G$158)</f>
        <v>0</v>
      </c>
      <c r="J16" s="406">
        <f>(PBW!$C$157)</f>
        <v>0</v>
      </c>
      <c r="K16" s="403" t="s">
        <v>232</v>
      </c>
      <c r="L16" s="408">
        <f>(PBW!$E$157)</f>
        <v>0</v>
      </c>
      <c r="M16" s="407" t="s">
        <v>234</v>
      </c>
      <c r="N16" s="407"/>
      <c r="O16" s="407"/>
      <c r="P16" s="5"/>
      <c r="Q16" s="5"/>
      <c r="R16" s="5"/>
      <c r="S16" s="5"/>
      <c r="T16" s="5"/>
      <c r="U16" s="5"/>
    </row>
    <row r="17" spans="1:21">
      <c r="A17" s="1"/>
      <c r="B17" s="3"/>
      <c r="C17" s="32">
        <f>(PBW!$C$181)</f>
        <v>0</v>
      </c>
      <c r="D17" s="23" t="s">
        <v>56</v>
      </c>
      <c r="E17" s="5"/>
      <c r="F17" s="1"/>
      <c r="G17" s="5"/>
      <c r="H17" s="85"/>
      <c r="I17" s="402">
        <f>(PBW!$G$171)</f>
        <v>0</v>
      </c>
      <c r="J17" s="406">
        <f>(PBW!$C$172)</f>
        <v>0</v>
      </c>
      <c r="K17" s="403" t="s">
        <v>233</v>
      </c>
      <c r="L17" s="408">
        <f>(PBW!$E$172)</f>
        <v>0</v>
      </c>
      <c r="M17" s="407" t="s">
        <v>235</v>
      </c>
      <c r="N17" s="407"/>
      <c r="O17" s="409" t="str">
        <f>IF($L$17&gt;0,($L$17/$I$17),"")</f>
        <v/>
      </c>
      <c r="P17" s="5"/>
      <c r="Q17" s="5"/>
      <c r="R17" s="5"/>
      <c r="S17" s="5"/>
      <c r="T17" s="5"/>
      <c r="U17" s="5"/>
    </row>
    <row r="18" spans="1:21">
      <c r="A18" s="1"/>
      <c r="B18" s="3"/>
      <c r="C18" s="32">
        <f>(PBW!$C$182)</f>
        <v>0</v>
      </c>
      <c r="D18" s="23" t="s">
        <v>57</v>
      </c>
      <c r="E18" s="5"/>
      <c r="F18" s="1"/>
      <c r="G18" s="5"/>
      <c r="H18" s="85"/>
      <c r="I18" s="400">
        <f>(PBW!$H$169)</f>
        <v>0</v>
      </c>
      <c r="J18" s="11"/>
      <c r="K18" s="405" t="s">
        <v>236</v>
      </c>
      <c r="L18" s="11"/>
      <c r="M18" s="11"/>
      <c r="N18" s="11"/>
      <c r="O18" s="11"/>
      <c r="P18" s="5"/>
      <c r="Q18" s="5"/>
      <c r="R18" s="5"/>
      <c r="S18" s="5"/>
      <c r="T18" s="5"/>
      <c r="U18" s="5"/>
    </row>
    <row r="19" spans="1:21">
      <c r="A19" s="1"/>
      <c r="B19" s="3"/>
      <c r="C19" s="6"/>
      <c r="D19" s="5"/>
      <c r="E19" s="5"/>
      <c r="F19" s="1"/>
      <c r="G19" s="5"/>
      <c r="H19" s="85"/>
      <c r="I19" s="5"/>
      <c r="J19" s="5"/>
      <c r="K19" s="5"/>
      <c r="L19" s="5"/>
      <c r="M19" s="5"/>
      <c r="N19" s="5"/>
      <c r="O19" s="5"/>
      <c r="P19" s="5"/>
      <c r="Q19" s="5"/>
      <c r="R19" s="5"/>
      <c r="S19" s="5"/>
      <c r="T19" s="5"/>
      <c r="U19" s="5"/>
    </row>
    <row r="20" spans="1:21" ht="13">
      <c r="A20" s="1"/>
      <c r="B20" s="3"/>
      <c r="C20" s="32">
        <f>(PBW!$C$183)</f>
        <v>0</v>
      </c>
      <c r="D20" s="23" t="s">
        <v>55</v>
      </c>
      <c r="E20" s="5"/>
      <c r="F20" s="1"/>
      <c r="G20" s="5"/>
      <c r="H20" s="85"/>
      <c r="I20" s="546" t="s">
        <v>237</v>
      </c>
      <c r="J20" s="547"/>
      <c r="K20" s="547"/>
      <c r="L20" s="547"/>
      <c r="M20" s="547"/>
      <c r="N20" s="547"/>
      <c r="O20" s="547"/>
      <c r="P20" s="5"/>
      <c r="Q20" s="5"/>
      <c r="R20" s="5"/>
      <c r="S20" s="5"/>
      <c r="T20" s="5"/>
      <c r="U20" s="5"/>
    </row>
    <row r="21" spans="1:21">
      <c r="A21" s="5"/>
      <c r="B21" s="5"/>
      <c r="C21" s="32">
        <f>(PBW!$C$184)</f>
        <v>0</v>
      </c>
      <c r="D21" s="23" t="s">
        <v>54</v>
      </c>
      <c r="E21" s="5"/>
      <c r="F21" s="5"/>
      <c r="G21" s="5"/>
      <c r="H21" s="5"/>
      <c r="I21" s="398">
        <f>(PBW!$E$142)</f>
        <v>0</v>
      </c>
      <c r="J21" s="406">
        <f>(PBW!$C$142)</f>
        <v>0</v>
      </c>
      <c r="K21" s="403" t="s">
        <v>238</v>
      </c>
      <c r="L21" s="403"/>
      <c r="M21" s="403"/>
      <c r="N21" s="403"/>
      <c r="O21" s="403"/>
      <c r="P21" s="5"/>
      <c r="Q21" s="5"/>
      <c r="R21" s="5"/>
      <c r="S21" s="5"/>
      <c r="T21" s="5"/>
      <c r="U21" s="5"/>
    </row>
    <row r="22" spans="1:21" ht="13" thickBot="1">
      <c r="A22" s="10"/>
      <c r="B22" s="10"/>
      <c r="C22" s="10"/>
      <c r="D22" s="10"/>
      <c r="E22" s="10"/>
      <c r="F22" s="10"/>
      <c r="G22" s="10"/>
      <c r="H22" s="10"/>
      <c r="I22" s="402">
        <f>(PBW!$E$144)</f>
        <v>0</v>
      </c>
      <c r="J22" s="406">
        <f>(PBW!$C$144)</f>
        <v>0</v>
      </c>
      <c r="K22" s="403" t="s">
        <v>239</v>
      </c>
      <c r="L22" s="403"/>
      <c r="M22" s="403"/>
      <c r="N22" s="403"/>
      <c r="O22" s="403"/>
      <c r="P22" s="5"/>
      <c r="Q22" s="5"/>
      <c r="R22" s="5"/>
      <c r="S22" s="5"/>
      <c r="T22" s="5"/>
      <c r="U22" s="5"/>
    </row>
    <row r="23" spans="1:21" ht="13" thickBot="1">
      <c r="A23" s="5"/>
      <c r="B23" s="27"/>
      <c r="C23" s="27"/>
      <c r="D23" s="5"/>
      <c r="E23" s="5"/>
      <c r="F23" s="5"/>
      <c r="G23" s="5"/>
      <c r="H23" s="5"/>
      <c r="I23" s="400">
        <f>(PBW!$H$141)</f>
        <v>0</v>
      </c>
      <c r="J23" s="11"/>
      <c r="K23" s="405" t="s">
        <v>240</v>
      </c>
      <c r="L23" s="403"/>
      <c r="M23" s="403"/>
      <c r="N23" s="403"/>
      <c r="O23" s="403"/>
      <c r="P23" s="5"/>
      <c r="Q23" s="5"/>
      <c r="R23" s="5"/>
      <c r="S23" s="5"/>
      <c r="T23" s="5"/>
      <c r="U23" s="5"/>
    </row>
    <row r="24" spans="1:21" ht="13" thickBot="1">
      <c r="A24" s="141" t="s">
        <v>94</v>
      </c>
      <c r="B24" s="142"/>
      <c r="C24" s="142"/>
      <c r="D24" s="122"/>
      <c r="E24" s="122"/>
      <c r="F24" s="122"/>
      <c r="G24" s="122"/>
      <c r="H24" s="379">
        <f>(TOTCONST)</f>
        <v>0</v>
      </c>
      <c r="I24" s="403"/>
      <c r="J24" s="5"/>
      <c r="K24" s="403"/>
      <c r="L24" s="403"/>
      <c r="M24" s="403"/>
      <c r="N24" s="403"/>
      <c r="O24" s="403"/>
      <c r="P24" s="5"/>
      <c r="Q24" s="5"/>
      <c r="R24" s="5"/>
      <c r="S24" s="5"/>
      <c r="T24" s="5"/>
      <c r="U24" s="5"/>
    </row>
    <row r="25" spans="1:21">
      <c r="A25" s="536" t="s">
        <v>93</v>
      </c>
      <c r="B25" s="27"/>
      <c r="C25" s="27"/>
      <c r="D25" s="5"/>
      <c r="E25" s="5"/>
      <c r="F25" s="5"/>
      <c r="G25" s="5"/>
      <c r="H25" s="28">
        <f>(TOTCONST-PBW!$H$123)</f>
        <v>0</v>
      </c>
      <c r="I25" s="398">
        <f>(PBW!$E$147)</f>
        <v>0</v>
      </c>
      <c r="J25" s="406">
        <f>(PBW!$C$147)</f>
        <v>0</v>
      </c>
      <c r="K25" s="403" t="s">
        <v>241</v>
      </c>
      <c r="L25" s="403"/>
      <c r="M25" s="403"/>
      <c r="N25" s="403"/>
      <c r="O25" s="403"/>
      <c r="P25" s="5"/>
      <c r="Q25" s="5"/>
      <c r="R25" s="5"/>
      <c r="S25" s="5"/>
      <c r="T25" s="5"/>
      <c r="U25" s="5"/>
    </row>
    <row r="26" spans="1:21">
      <c r="A26" s="536" t="s">
        <v>84</v>
      </c>
      <c r="B26" s="27"/>
      <c r="C26" s="27"/>
      <c r="D26" s="5"/>
      <c r="E26" s="5"/>
      <c r="F26" s="5"/>
      <c r="G26" s="5"/>
      <c r="H26" s="28">
        <f>(PBW!$H$123)</f>
        <v>0</v>
      </c>
      <c r="I26" s="398">
        <f>(PBW!$E$148)</f>
        <v>0</v>
      </c>
      <c r="J26" s="5"/>
      <c r="K26" s="403" t="s">
        <v>242</v>
      </c>
      <c r="L26" s="403"/>
      <c r="M26" s="403"/>
      <c r="N26" s="403"/>
      <c r="O26" s="403"/>
      <c r="P26" s="5"/>
      <c r="Q26" s="5"/>
      <c r="R26" s="5"/>
      <c r="S26" s="5"/>
      <c r="T26" s="5"/>
      <c r="U26" s="5"/>
    </row>
    <row r="27" spans="1:21" ht="13" thickBot="1">
      <c r="A27" s="1"/>
      <c r="B27" s="29"/>
      <c r="C27" s="29"/>
      <c r="D27" s="5"/>
      <c r="E27" s="5"/>
      <c r="F27" s="5"/>
      <c r="G27" s="5"/>
      <c r="H27" s="28"/>
      <c r="I27" s="398">
        <f>(PBW!$E$149)</f>
        <v>0</v>
      </c>
      <c r="J27" s="406">
        <f>(PBW!$C$149)</f>
        <v>0</v>
      </c>
      <c r="K27" s="403" t="s">
        <v>243</v>
      </c>
      <c r="L27" s="403"/>
      <c r="M27" s="403"/>
      <c r="N27" s="403"/>
      <c r="O27" s="403"/>
      <c r="P27" s="5"/>
      <c r="Q27" s="5"/>
      <c r="R27" s="5"/>
      <c r="S27" s="5"/>
      <c r="T27" s="5"/>
      <c r="U27" s="5"/>
    </row>
    <row r="28" spans="1:21" ht="13" thickBot="1">
      <c r="A28" s="141" t="s">
        <v>97</v>
      </c>
      <c r="B28" s="122"/>
      <c r="C28" s="122"/>
      <c r="D28" s="122"/>
      <c r="E28" s="122"/>
      <c r="F28" s="122"/>
      <c r="G28" s="154" t="str">
        <f>IF($H$24=0,"",($H$28/$H$24))</f>
        <v/>
      </c>
      <c r="H28" s="379">
        <f>SUM(PBW!$H$141,PBW!$H$146)</f>
        <v>0</v>
      </c>
      <c r="I28" s="398">
        <f>(PBW!$E$150)</f>
        <v>0</v>
      </c>
      <c r="J28" s="5"/>
      <c r="K28" s="403" t="s">
        <v>244</v>
      </c>
      <c r="L28" s="403"/>
      <c r="M28" s="403"/>
      <c r="N28" s="403"/>
      <c r="O28" s="403"/>
      <c r="P28" s="5"/>
      <c r="Q28" s="5"/>
      <c r="R28" s="5"/>
      <c r="S28" s="5"/>
      <c r="T28" s="5"/>
      <c r="U28" s="5"/>
    </row>
    <row r="29" spans="1:21">
      <c r="A29" s="536" t="s">
        <v>95</v>
      </c>
      <c r="B29" s="73"/>
      <c r="C29" s="29"/>
      <c r="D29" s="140"/>
      <c r="E29" s="5"/>
      <c r="F29" s="5"/>
      <c r="G29" s="152" t="str">
        <f>IF($H$24=0,"",($H$29/$H$24))</f>
        <v/>
      </c>
      <c r="H29" s="28">
        <f>(PBW!$H$141)</f>
        <v>0</v>
      </c>
      <c r="I29" s="398">
        <f>(PBW!$E$151)</f>
        <v>0</v>
      </c>
      <c r="J29" s="5"/>
      <c r="K29" s="403" t="s">
        <v>245</v>
      </c>
      <c r="L29" s="403"/>
      <c r="M29" s="403"/>
      <c r="N29" s="403"/>
      <c r="O29" s="403"/>
      <c r="P29" s="5"/>
      <c r="Q29" s="5"/>
      <c r="R29" s="5"/>
      <c r="S29" s="5"/>
      <c r="T29" s="5"/>
      <c r="U29" s="5"/>
    </row>
    <row r="30" spans="1:21">
      <c r="A30" s="536" t="s">
        <v>96</v>
      </c>
      <c r="B30" s="73"/>
      <c r="C30" s="27"/>
      <c r="D30" s="140"/>
      <c r="E30" s="30"/>
      <c r="F30" s="5"/>
      <c r="G30" s="153" t="str">
        <f>IF($H$24=0,"",($H$30/$H$24))</f>
        <v/>
      </c>
      <c r="H30" s="28">
        <f>(PBW!$H$146)</f>
        <v>0</v>
      </c>
      <c r="I30" s="398">
        <f>(PBW!$E$152)</f>
        <v>0</v>
      </c>
      <c r="J30" s="5"/>
      <c r="K30" s="403" t="s">
        <v>246</v>
      </c>
      <c r="L30" s="403"/>
      <c r="M30" s="403"/>
      <c r="N30" s="403"/>
      <c r="O30" s="403"/>
      <c r="P30" s="5"/>
      <c r="Q30" s="5"/>
      <c r="R30" s="5"/>
      <c r="S30" s="5"/>
      <c r="T30" s="5"/>
      <c r="U30" s="5"/>
    </row>
    <row r="31" spans="1:21" ht="13" thickBot="1">
      <c r="A31" s="2"/>
      <c r="B31" s="5"/>
      <c r="C31" s="5"/>
      <c r="D31" s="5"/>
      <c r="E31" s="5"/>
      <c r="F31" s="5"/>
      <c r="G31" s="5"/>
      <c r="H31" s="31"/>
      <c r="I31" s="402">
        <f>SUM(PBW!$E$153:$E$156)</f>
        <v>0</v>
      </c>
      <c r="J31" s="5"/>
      <c r="K31" s="403" t="s">
        <v>247</v>
      </c>
      <c r="L31" s="403"/>
      <c r="M31" s="403"/>
      <c r="N31" s="403"/>
      <c r="O31" s="403"/>
      <c r="P31" s="5"/>
      <c r="Q31" s="5"/>
      <c r="R31" s="5"/>
      <c r="S31" s="5"/>
      <c r="T31" s="5"/>
      <c r="U31" s="5"/>
    </row>
    <row r="32" spans="1:21" ht="13" thickBot="1">
      <c r="A32" s="141" t="s">
        <v>98</v>
      </c>
      <c r="B32" s="143"/>
      <c r="C32" s="122"/>
      <c r="D32" s="122"/>
      <c r="E32" s="122"/>
      <c r="F32" s="122"/>
      <c r="G32" s="154" t="str">
        <f>IF($H$24=0,"",($H$32/$H$24))</f>
        <v/>
      </c>
      <c r="H32" s="379">
        <f>(PBW!$H$165)</f>
        <v>0</v>
      </c>
      <c r="I32" s="400">
        <f>(PBW!$H$146)</f>
        <v>0</v>
      </c>
      <c r="J32" s="11"/>
      <c r="K32" s="405" t="s">
        <v>248</v>
      </c>
      <c r="L32" s="405"/>
      <c r="M32" s="405"/>
      <c r="N32" s="405"/>
      <c r="O32" s="405"/>
      <c r="P32" s="5"/>
      <c r="Q32" s="5"/>
      <c r="R32" s="5"/>
      <c r="S32" s="5"/>
      <c r="T32" s="5"/>
      <c r="U32" s="5"/>
    </row>
    <row r="33" spans="1:21" ht="13" thickBot="1">
      <c r="A33" s="144"/>
      <c r="B33" s="145"/>
      <c r="C33" s="5"/>
      <c r="D33" s="5"/>
      <c r="E33" s="5"/>
      <c r="F33" s="5"/>
      <c r="G33" s="5"/>
      <c r="H33" s="31"/>
      <c r="I33" s="5"/>
      <c r="J33" s="5"/>
      <c r="K33" s="5"/>
      <c r="L33" s="5"/>
      <c r="M33" s="5"/>
      <c r="N33" s="5"/>
      <c r="O33" s="5"/>
      <c r="P33" s="5"/>
      <c r="Q33" s="5"/>
      <c r="R33" s="5"/>
      <c r="S33" s="5"/>
      <c r="T33" s="5"/>
      <c r="U33" s="5"/>
    </row>
    <row r="34" spans="1:21" ht="13" thickBot="1">
      <c r="A34" s="141" t="s">
        <v>99</v>
      </c>
      <c r="B34" s="143"/>
      <c r="C34" s="122"/>
      <c r="D34" s="122"/>
      <c r="E34" s="122"/>
      <c r="F34" s="122"/>
      <c r="G34" s="154" t="str">
        <f>IF(SUM($H$24,$H$32)=0,"",($H$34/SUM($H$24+$H$32)))</f>
        <v/>
      </c>
      <c r="H34" s="379">
        <f>(PBW!$H$167)</f>
        <v>0</v>
      </c>
      <c r="I34" s="5"/>
      <c r="J34" s="5"/>
      <c r="K34" s="5"/>
      <c r="L34" s="5"/>
      <c r="M34" s="5"/>
      <c r="N34" s="5"/>
      <c r="O34" s="5"/>
      <c r="P34" s="5"/>
      <c r="Q34" s="5"/>
      <c r="R34" s="5"/>
      <c r="S34" s="5"/>
      <c r="T34" s="5"/>
      <c r="U34" s="5"/>
    </row>
    <row r="35" spans="1:21" ht="13" thickBot="1">
      <c r="A35" s="2"/>
      <c r="B35" s="5"/>
      <c r="C35" s="5"/>
      <c r="D35" s="5"/>
      <c r="E35" s="5"/>
      <c r="F35" s="5"/>
      <c r="G35" s="5"/>
      <c r="H35" s="28"/>
      <c r="I35" s="5"/>
      <c r="J35" s="5"/>
      <c r="K35" s="5"/>
      <c r="L35" s="5"/>
      <c r="M35" s="5"/>
      <c r="N35" s="5"/>
      <c r="O35" s="5"/>
      <c r="P35" s="5"/>
      <c r="Q35" s="5"/>
      <c r="R35" s="5"/>
      <c r="S35" s="5"/>
      <c r="T35" s="5"/>
      <c r="U35" s="5"/>
    </row>
    <row r="36" spans="1:21" ht="13" thickBot="1">
      <c r="A36" s="141" t="s">
        <v>142</v>
      </c>
      <c r="B36" s="122"/>
      <c r="C36" s="122"/>
      <c r="D36" s="122"/>
      <c r="E36" s="122"/>
      <c r="F36" s="122"/>
      <c r="G36" s="154" t="str">
        <f>IF($H$24=0,"",($H$36/$H$24))</f>
        <v/>
      </c>
      <c r="H36" s="379">
        <f>(PBW!$H$169)</f>
        <v>0</v>
      </c>
      <c r="I36" s="5"/>
      <c r="J36" s="5"/>
      <c r="K36" s="5"/>
      <c r="L36" s="5"/>
      <c r="M36" s="5"/>
      <c r="N36" s="5"/>
      <c r="O36" s="5"/>
      <c r="P36" s="5"/>
      <c r="Q36" s="5"/>
      <c r="R36" s="5"/>
      <c r="S36" s="5"/>
      <c r="T36" s="5"/>
      <c r="U36" s="5"/>
    </row>
    <row r="37" spans="1:21">
      <c r="A37" s="536" t="s">
        <v>143</v>
      </c>
      <c r="B37" s="73"/>
      <c r="C37" s="5"/>
      <c r="D37" s="140"/>
      <c r="E37" s="5"/>
      <c r="F37" s="5"/>
      <c r="G37" s="74" t="str">
        <f>IF($H$24=0,"",($H$37/$H$24))</f>
        <v/>
      </c>
      <c r="H37" s="28">
        <f>(PBW!$G$158)</f>
        <v>0</v>
      </c>
      <c r="I37" s="5"/>
      <c r="J37" s="5"/>
      <c r="K37" s="5"/>
      <c r="L37" s="5"/>
      <c r="M37" s="5"/>
      <c r="N37" s="5"/>
      <c r="O37" s="5"/>
      <c r="P37" s="5"/>
      <c r="Q37" s="5"/>
      <c r="R37" s="5"/>
      <c r="S37" s="5"/>
      <c r="T37" s="5"/>
      <c r="U37" s="5"/>
    </row>
    <row r="38" spans="1:21">
      <c r="A38" s="536" t="s">
        <v>144</v>
      </c>
      <c r="B38" s="74"/>
      <c r="C38" s="5"/>
      <c r="D38" s="140"/>
      <c r="E38" s="5"/>
      <c r="F38" s="5"/>
      <c r="G38" s="74" t="str">
        <f>IF($H$24=0,"",($H$38/$H$24))</f>
        <v/>
      </c>
      <c r="H38" s="28">
        <f>(PBW!$G$171)</f>
        <v>0</v>
      </c>
      <c r="I38" s="5"/>
      <c r="J38" s="5"/>
      <c r="K38" s="5"/>
      <c r="L38" s="5"/>
      <c r="M38" s="5"/>
      <c r="N38" s="5"/>
      <c r="O38" s="5"/>
      <c r="P38" s="5"/>
      <c r="Q38" s="5"/>
      <c r="R38" s="5"/>
      <c r="S38" s="5"/>
      <c r="T38" s="5"/>
      <c r="U38" s="5"/>
    </row>
    <row r="39" spans="1:21" ht="13" thickBot="1">
      <c r="A39" s="2"/>
      <c r="B39" s="5"/>
      <c r="C39" s="5"/>
      <c r="D39" s="5"/>
      <c r="E39" s="5"/>
      <c r="F39" s="5"/>
      <c r="G39" s="5"/>
      <c r="H39" s="31"/>
      <c r="I39" s="5"/>
      <c r="J39" s="5"/>
      <c r="K39" s="5"/>
      <c r="L39" s="5"/>
      <c r="M39" s="5"/>
      <c r="N39" s="5"/>
      <c r="O39" s="5"/>
      <c r="P39" s="5"/>
      <c r="Q39" s="5"/>
      <c r="R39" s="5"/>
      <c r="S39" s="5"/>
      <c r="T39" s="5"/>
      <c r="U39" s="5"/>
    </row>
    <row r="40" spans="1:21" ht="13" thickBot="1">
      <c r="A40" s="141" t="s">
        <v>100</v>
      </c>
      <c r="B40" s="122"/>
      <c r="C40" s="122"/>
      <c r="D40" s="122"/>
      <c r="E40" s="122"/>
      <c r="F40" s="129"/>
      <c r="G40" s="124"/>
      <c r="H40" s="379">
        <f>SUM(H$24,H$28,H$32,H$34,$H$36)</f>
        <v>0</v>
      </c>
      <c r="I40" s="5"/>
      <c r="J40" s="5"/>
      <c r="K40" s="5"/>
      <c r="L40" s="5"/>
      <c r="M40" s="5"/>
      <c r="N40" s="5"/>
      <c r="O40" s="5"/>
      <c r="P40" s="5"/>
      <c r="Q40" s="5"/>
      <c r="R40" s="5"/>
      <c r="S40" s="5"/>
      <c r="T40" s="5"/>
      <c r="U40" s="5"/>
    </row>
    <row r="41" spans="1:21">
      <c r="A41" s="5"/>
      <c r="B41" s="5"/>
      <c r="C41" s="5"/>
      <c r="D41" s="5"/>
      <c r="E41" s="5"/>
      <c r="F41" s="5"/>
      <c r="G41" s="5"/>
      <c r="H41" s="5"/>
      <c r="I41" s="5"/>
      <c r="J41" s="5"/>
      <c r="K41" s="5"/>
      <c r="L41" s="5"/>
      <c r="M41" s="5"/>
      <c r="N41" s="5"/>
      <c r="O41" s="5"/>
      <c r="P41" s="5"/>
      <c r="Q41" s="5"/>
      <c r="R41" s="5"/>
      <c r="S41" s="5"/>
      <c r="T41" s="5"/>
      <c r="U41" s="5"/>
    </row>
    <row r="42" spans="1:21" ht="13" thickBot="1">
      <c r="A42" s="10"/>
      <c r="B42" s="10"/>
      <c r="C42" s="10"/>
      <c r="D42" s="10"/>
      <c r="E42" s="10"/>
      <c r="F42" s="10"/>
      <c r="G42" s="10"/>
      <c r="H42" s="10"/>
      <c r="I42" s="5"/>
      <c r="J42" s="5"/>
      <c r="K42" s="5"/>
      <c r="L42" s="5"/>
      <c r="M42" s="5"/>
      <c r="N42" s="5"/>
      <c r="O42" s="5"/>
      <c r="P42" s="5"/>
      <c r="Q42" s="5"/>
      <c r="R42" s="5"/>
      <c r="S42" s="5"/>
      <c r="T42" s="5"/>
      <c r="U42" s="5"/>
    </row>
    <row r="43" spans="1:21">
      <c r="A43" s="5"/>
      <c r="B43" s="5"/>
      <c r="C43" s="5"/>
      <c r="D43" s="5"/>
      <c r="E43" s="5"/>
      <c r="F43" s="5"/>
      <c r="G43" s="5"/>
      <c r="H43" s="5"/>
      <c r="I43" s="5"/>
      <c r="J43" s="5"/>
      <c r="K43" s="5"/>
      <c r="L43" s="5"/>
      <c r="M43" s="5"/>
      <c r="N43" s="5"/>
      <c r="O43" s="5"/>
      <c r="P43" s="5"/>
      <c r="Q43" s="5"/>
      <c r="R43" s="5"/>
      <c r="S43" s="5"/>
      <c r="T43" s="5"/>
      <c r="U43" s="5"/>
    </row>
    <row r="44" spans="1:21">
      <c r="A44" s="5"/>
      <c r="B44" s="5"/>
      <c r="C44" s="5"/>
      <c r="D44" s="5"/>
      <c r="E44" s="5"/>
      <c r="F44" s="5"/>
      <c r="G44" s="5"/>
      <c r="H44" s="5"/>
      <c r="I44" s="5"/>
      <c r="J44" s="5"/>
      <c r="K44" s="5"/>
      <c r="L44" s="5"/>
      <c r="M44" s="5"/>
      <c r="N44" s="5"/>
      <c r="O44" s="5"/>
      <c r="P44" s="5"/>
      <c r="Q44" s="5"/>
      <c r="R44" s="5"/>
      <c r="S44" s="5"/>
      <c r="T44" s="5"/>
      <c r="U44" s="5"/>
    </row>
    <row r="45" spans="1:21">
      <c r="A45" s="5"/>
      <c r="B45" s="5"/>
      <c r="C45" s="5"/>
      <c r="D45" s="5"/>
      <c r="E45" s="5"/>
      <c r="F45" s="5"/>
      <c r="G45" s="5"/>
      <c r="H45" s="5"/>
      <c r="I45" s="5"/>
      <c r="J45" s="5"/>
      <c r="K45" s="5"/>
      <c r="L45" s="5"/>
      <c r="M45" s="5"/>
      <c r="N45" s="5"/>
      <c r="O45" s="5"/>
      <c r="P45" s="5"/>
      <c r="Q45" s="5"/>
      <c r="R45" s="5"/>
      <c r="S45" s="5"/>
      <c r="T45" s="5"/>
      <c r="U45" s="5"/>
    </row>
    <row r="46" spans="1:21">
      <c r="A46" s="544" t="s">
        <v>199</v>
      </c>
      <c r="B46" s="544"/>
      <c r="C46" s="544"/>
      <c r="D46" s="544"/>
      <c r="E46" s="5"/>
      <c r="F46" s="545" t="s">
        <v>206</v>
      </c>
      <c r="G46" s="545"/>
      <c r="H46" s="545"/>
      <c r="I46" s="550" t="s">
        <v>216</v>
      </c>
      <c r="J46" s="550"/>
      <c r="K46" s="5"/>
      <c r="L46" s="5"/>
      <c r="M46" s="5"/>
      <c r="N46" s="5"/>
      <c r="O46" s="5"/>
      <c r="P46" s="5"/>
      <c r="Q46" s="5"/>
      <c r="R46" s="5"/>
      <c r="S46" s="5"/>
      <c r="T46" s="5"/>
      <c r="U46" s="5"/>
    </row>
    <row r="47" spans="1:21">
      <c r="A47" s="176"/>
      <c r="B47" s="176"/>
      <c r="C47" s="176"/>
      <c r="D47" s="176"/>
      <c r="E47" s="5"/>
      <c r="F47" s="5"/>
      <c r="G47" s="5"/>
      <c r="H47" s="325" t="s">
        <v>215</v>
      </c>
      <c r="I47" s="325" t="s">
        <v>214</v>
      </c>
      <c r="J47" s="325"/>
      <c r="K47" s="5"/>
      <c r="L47" s="5"/>
      <c r="M47" s="5"/>
      <c r="N47" s="5"/>
      <c r="O47" s="5"/>
      <c r="P47" s="5"/>
      <c r="Q47" s="5"/>
      <c r="R47" s="5"/>
      <c r="S47" s="5"/>
      <c r="T47" s="5"/>
      <c r="U47" s="5"/>
    </row>
    <row r="48" spans="1:21" ht="12.75" customHeight="1">
      <c r="A48" s="223" t="s">
        <v>189</v>
      </c>
      <c r="B48" s="515"/>
      <c r="C48" s="33" t="s">
        <v>198</v>
      </c>
      <c r="D48" s="224">
        <f>($H$25)</f>
        <v>0</v>
      </c>
      <c r="E48" s="134" t="s">
        <v>210</v>
      </c>
      <c r="F48" s="1" t="s">
        <v>203</v>
      </c>
      <c r="G48" s="38" t="s">
        <v>198</v>
      </c>
      <c r="H48" s="224">
        <f>($H$34)</f>
        <v>0</v>
      </c>
      <c r="I48" s="404">
        <f>(PBW_NoInflation!$H$167)</f>
        <v>0</v>
      </c>
      <c r="J48" s="337"/>
      <c r="K48" s="5"/>
      <c r="L48" s="5"/>
      <c r="M48" s="5"/>
      <c r="N48" s="5"/>
      <c r="O48" s="5"/>
      <c r="P48" s="5"/>
      <c r="Q48" s="5"/>
      <c r="R48" s="5"/>
      <c r="S48" s="5"/>
      <c r="T48" s="5"/>
      <c r="U48" s="5"/>
    </row>
    <row r="49" spans="1:21" ht="12.75" customHeight="1">
      <c r="A49" s="223" t="s">
        <v>188</v>
      </c>
      <c r="B49" s="515"/>
      <c r="C49" s="33" t="s">
        <v>198</v>
      </c>
      <c r="D49" s="224">
        <f>($H$26)</f>
        <v>0</v>
      </c>
      <c r="E49" s="134" t="s">
        <v>209</v>
      </c>
      <c r="F49" s="1" t="s">
        <v>202</v>
      </c>
      <c r="G49" s="38" t="s">
        <v>198</v>
      </c>
      <c r="H49" s="224">
        <f>ROUND(SUM(PBW!$H$141,PBW!$E$147,PBW!$E$149,PBW!$E$157),-3)</f>
        <v>0</v>
      </c>
      <c r="I49" s="404">
        <f>ROUND(SUM(PBW_NoInflation!$H$141,PBW_NoInflation!$E$147,PBW_NoInflation!$E$149,PBW_NoInflation!$E$157),-3)</f>
        <v>0</v>
      </c>
      <c r="J49" s="337"/>
      <c r="K49" s="5"/>
      <c r="L49" s="5"/>
      <c r="M49" s="5"/>
      <c r="N49" s="5"/>
      <c r="O49" s="5"/>
      <c r="P49" s="5"/>
      <c r="Q49" s="5"/>
      <c r="R49" s="5"/>
      <c r="S49" s="5"/>
      <c r="T49" s="5"/>
      <c r="U49" s="5"/>
    </row>
    <row r="50" spans="1:21" ht="12.75" customHeight="1">
      <c r="A50" s="80" t="s">
        <v>190</v>
      </c>
      <c r="B50" s="516"/>
      <c r="C50" s="68" t="s">
        <v>198</v>
      </c>
      <c r="D50" s="380">
        <f>($H$24)</f>
        <v>0</v>
      </c>
      <c r="E50" s="134" t="s">
        <v>211</v>
      </c>
      <c r="F50" s="1" t="s">
        <v>189</v>
      </c>
      <c r="G50" s="38" t="s">
        <v>198</v>
      </c>
      <c r="H50" s="224">
        <f>($H$24)</f>
        <v>0</v>
      </c>
      <c r="I50" s="404">
        <f>(PBW_NoInflation!$H$128)</f>
        <v>0</v>
      </c>
      <c r="J50" s="337"/>
      <c r="K50" s="5"/>
      <c r="L50" s="5"/>
      <c r="M50" s="5"/>
      <c r="N50" s="5"/>
      <c r="O50" s="5"/>
      <c r="P50" s="5"/>
      <c r="Q50" s="5"/>
      <c r="R50" s="5"/>
      <c r="S50" s="5"/>
      <c r="T50" s="5"/>
      <c r="U50" s="5"/>
    </row>
    <row r="51" spans="1:21" ht="12.75" customHeight="1">
      <c r="A51" s="223" t="s">
        <v>191</v>
      </c>
      <c r="B51" s="515" t="str">
        <f>($G$29)</f>
        <v/>
      </c>
      <c r="C51" s="33" t="s">
        <v>198</v>
      </c>
      <c r="D51" s="224">
        <f>($H$29)</f>
        <v>0</v>
      </c>
      <c r="E51" s="134" t="s">
        <v>208</v>
      </c>
      <c r="F51" s="1" t="s">
        <v>194</v>
      </c>
      <c r="G51" s="38" t="s">
        <v>198</v>
      </c>
      <c r="H51" s="224">
        <f>($H$32)</f>
        <v>0</v>
      </c>
      <c r="I51" s="404">
        <f>(PBW_NoInflation!$H$165)</f>
        <v>0</v>
      </c>
      <c r="J51" s="337"/>
      <c r="K51" s="5"/>
      <c r="L51" s="5"/>
      <c r="M51" s="5"/>
      <c r="N51" s="5"/>
      <c r="O51" s="5"/>
      <c r="P51" s="5"/>
      <c r="Q51" s="5"/>
      <c r="R51" s="5"/>
      <c r="S51" s="5"/>
      <c r="T51" s="5"/>
      <c r="U51" s="5"/>
    </row>
    <row r="52" spans="1:21" ht="12.75" customHeight="1">
      <c r="A52" s="223" t="s">
        <v>192</v>
      </c>
      <c r="B52" s="515" t="str">
        <f>($G$30)</f>
        <v/>
      </c>
      <c r="C52" s="33" t="s">
        <v>198</v>
      </c>
      <c r="D52" s="224">
        <f>($H$30)</f>
        <v>0</v>
      </c>
      <c r="E52" s="134" t="s">
        <v>212</v>
      </c>
      <c r="F52" s="1" t="s">
        <v>204</v>
      </c>
      <c r="G52" s="38" t="s">
        <v>198</v>
      </c>
      <c r="H52" s="224">
        <f>ROUND(SUM(PBW!$H$169,PBW!$E$150:$E$156),-3)</f>
        <v>0</v>
      </c>
      <c r="I52" s="404">
        <f>ROUND(SUM(PBW_NoInflation!$H$169,PBW_NoInflation!$E$150:$E$156),-3)</f>
        <v>0</v>
      </c>
      <c r="J52" s="337"/>
      <c r="K52" s="5"/>
      <c r="L52" s="5"/>
      <c r="M52" s="5"/>
      <c r="N52" s="5"/>
      <c r="O52" s="5"/>
      <c r="P52" s="5"/>
      <c r="Q52" s="5"/>
      <c r="R52" s="5"/>
      <c r="S52" s="5"/>
      <c r="T52" s="5"/>
      <c r="U52" s="5"/>
    </row>
    <row r="53" spans="1:21" ht="12.75" customHeight="1">
      <c r="A53" s="80" t="s">
        <v>193</v>
      </c>
      <c r="B53" s="516"/>
      <c r="C53" s="68" t="s">
        <v>198</v>
      </c>
      <c r="D53" s="380">
        <f>($H$28)</f>
        <v>0</v>
      </c>
      <c r="E53" s="134"/>
      <c r="F53" s="1" t="s">
        <v>213</v>
      </c>
      <c r="G53" s="38" t="s">
        <v>198</v>
      </c>
      <c r="H53" s="224">
        <f>($I$53)</f>
        <v>0</v>
      </c>
      <c r="I53" s="404">
        <f>($H$54-$I$54)</f>
        <v>0</v>
      </c>
      <c r="J53" s="337"/>
      <c r="K53" s="5"/>
      <c r="L53" s="5"/>
      <c r="M53" s="5"/>
      <c r="N53" s="5"/>
      <c r="O53" s="5"/>
      <c r="P53" s="5"/>
      <c r="Q53" s="5"/>
      <c r="R53" s="5"/>
      <c r="S53" s="5"/>
      <c r="T53" s="5"/>
      <c r="U53" s="5"/>
    </row>
    <row r="54" spans="1:21" ht="12.75" customHeight="1">
      <c r="A54" s="223" t="s">
        <v>194</v>
      </c>
      <c r="B54" s="515" t="str">
        <f>($G$32)</f>
        <v/>
      </c>
      <c r="C54" s="33" t="s">
        <v>198</v>
      </c>
      <c r="D54" s="224">
        <f>($H$32)</f>
        <v>0</v>
      </c>
      <c r="E54" s="134"/>
      <c r="F54" s="2" t="s">
        <v>205</v>
      </c>
      <c r="G54" s="34" t="s">
        <v>198</v>
      </c>
      <c r="H54" s="380">
        <f>($H$40)</f>
        <v>0</v>
      </c>
      <c r="I54" s="397">
        <f>(PBW_NoInflation!$H$179)</f>
        <v>0</v>
      </c>
      <c r="J54" s="338"/>
      <c r="K54" s="5"/>
      <c r="L54" s="5"/>
      <c r="M54" s="5"/>
      <c r="N54" s="5"/>
      <c r="O54" s="5"/>
      <c r="P54" s="5"/>
      <c r="Q54" s="5"/>
      <c r="R54" s="5"/>
      <c r="S54" s="5"/>
      <c r="T54" s="5"/>
      <c r="U54" s="5"/>
    </row>
    <row r="55" spans="1:21" ht="13">
      <c r="A55" s="223" t="s">
        <v>195</v>
      </c>
      <c r="B55" s="515" t="str">
        <f>($G$34)</f>
        <v/>
      </c>
      <c r="C55" s="33" t="s">
        <v>198</v>
      </c>
      <c r="D55" s="224">
        <f>($H$34)</f>
        <v>0</v>
      </c>
      <c r="E55" s="5"/>
      <c r="F55" s="12"/>
      <c r="G55" s="5"/>
      <c r="H55" s="5"/>
      <c r="I55" s="5"/>
      <c r="J55" s="5"/>
      <c r="K55" s="5"/>
      <c r="L55" s="5"/>
      <c r="M55" s="5"/>
      <c r="N55" s="5"/>
      <c r="O55" s="5"/>
      <c r="P55" s="5"/>
      <c r="Q55" s="5"/>
      <c r="R55" s="5"/>
      <c r="S55" s="5"/>
      <c r="T55" s="5"/>
      <c r="U55" s="5"/>
    </row>
    <row r="56" spans="1:21" ht="13">
      <c r="A56" s="223" t="s">
        <v>196</v>
      </c>
      <c r="B56" s="515" t="str">
        <f>($G$36)</f>
        <v/>
      </c>
      <c r="C56" s="33" t="s">
        <v>198</v>
      </c>
      <c r="D56" s="224">
        <f>($H$36)</f>
        <v>0</v>
      </c>
      <c r="E56" s="5"/>
      <c r="F56" s="12"/>
      <c r="G56" s="5"/>
      <c r="H56" s="5"/>
      <c r="I56" s="5"/>
      <c r="J56" s="5"/>
      <c r="K56" s="5"/>
      <c r="L56" s="5"/>
      <c r="M56" s="5"/>
      <c r="N56" s="5"/>
      <c r="O56" s="5"/>
      <c r="P56" s="5"/>
      <c r="Q56" s="5"/>
      <c r="R56" s="5"/>
      <c r="S56" s="5"/>
      <c r="T56" s="5"/>
      <c r="U56" s="5"/>
    </row>
    <row r="57" spans="1:21" ht="13">
      <c r="A57" s="80" t="s">
        <v>197</v>
      </c>
      <c r="B57" s="516"/>
      <c r="C57" s="68" t="s">
        <v>198</v>
      </c>
      <c r="D57" s="380">
        <f>($H$40)</f>
        <v>0</v>
      </c>
      <c r="E57" s="5"/>
      <c r="F57" s="12"/>
      <c r="G57" s="5"/>
      <c r="H57" s="5"/>
      <c r="I57" s="5"/>
      <c r="J57" s="5"/>
      <c r="K57" s="5"/>
      <c r="L57" s="5"/>
      <c r="M57" s="5"/>
      <c r="N57" s="5"/>
      <c r="O57" s="5"/>
      <c r="P57" s="5"/>
      <c r="Q57" s="5"/>
      <c r="R57" s="5"/>
      <c r="S57" s="5"/>
      <c r="T57" s="5"/>
      <c r="U57" s="5"/>
    </row>
    <row r="58" spans="1:21">
      <c r="I58" s="5"/>
      <c r="J58" s="5"/>
      <c r="K58" s="5"/>
      <c r="L58" s="5"/>
      <c r="M58" s="5"/>
      <c r="N58" s="5"/>
      <c r="O58" s="5"/>
      <c r="P58" s="5"/>
      <c r="Q58" s="5"/>
      <c r="R58" s="5"/>
      <c r="S58" s="5"/>
      <c r="T58" s="5"/>
      <c r="U58" s="5"/>
    </row>
    <row r="59" spans="1:21">
      <c r="I59" s="5"/>
      <c r="J59" s="5"/>
      <c r="K59" s="5"/>
      <c r="L59" s="5"/>
      <c r="M59" s="5"/>
      <c r="N59" s="5"/>
      <c r="O59" s="5"/>
      <c r="P59" s="5"/>
      <c r="Q59" s="5"/>
      <c r="R59" s="5"/>
      <c r="S59" s="5"/>
      <c r="T59" s="5"/>
      <c r="U59" s="5"/>
    </row>
  </sheetData>
  <sheetProtection algorithmName="SHA-512" hashValue="oJEN7btpwaPeGMQn6HIu153tlVa5CTIDhYSLUdJOUDHz4VePqV0N/D2SpTPtR6kw77WCI4VcK5J+K4i2HeRH2w==" saltValue="vY0RIwC+C+ixkmjQKLQcNA==" spinCount="100000" sheet="1" objects="1" scenarios="1"/>
  <sortState xmlns:xlrd2="http://schemas.microsoft.com/office/spreadsheetml/2017/richdata2" ref="E48:H52">
    <sortCondition ref="E48:E52"/>
  </sortState>
  <mergeCells count="9">
    <mergeCell ref="A46:D46"/>
    <mergeCell ref="F46:H46"/>
    <mergeCell ref="I1:O1"/>
    <mergeCell ref="I14:O14"/>
    <mergeCell ref="I20:O20"/>
    <mergeCell ref="B3:E3"/>
    <mergeCell ref="B4:E4"/>
    <mergeCell ref="B6:E6"/>
    <mergeCell ref="I46:J46"/>
  </mergeCells>
  <phoneticPr fontId="5" type="noConversion"/>
  <printOptions horizontalCentered="1"/>
  <pageMargins left="0.25" right="0.25" top="0.5" bottom="0.5" header="0.25" footer="0.25"/>
  <pageSetup orientation="portrait" horizontalDpi="4294967292" verticalDpi="4294967292" r:id="rId1"/>
  <headerFooter>
    <oddFooter>&amp;L&amp;"Arial Narrow,Regular"&amp;8&amp;K000000&amp;D&amp;C&amp;"Arial Narrow,Regular"&amp;8&amp;K000000PBW Summary&amp;R&amp;"Arial Narrow,Regular"&amp;8&amp;K000000page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32" id="{C6846D4F-CBE3-ED4F-8646-0EFB714FCF03}">
            <xm:f>PBW!$B$5="SP"</xm:f>
            <x14:dxf>
              <font>
                <b/>
                <i val="0"/>
                <strike val="0"/>
                <color theme="0"/>
              </font>
              <fill>
                <patternFill>
                  <bgColor theme="5"/>
                </patternFill>
              </fill>
            </x14:dxf>
          </x14:cfRule>
          <x14:cfRule type="expression" priority="33" id="{CECF8EFC-EFD1-A540-A2F1-45CAED0B56A7}">
            <xm:f>PBW!$B$5="P&amp;D"</xm:f>
            <x14:dxf>
              <font>
                <b/>
                <i val="0"/>
                <strike val="0"/>
                <color theme="0"/>
              </font>
              <fill>
                <patternFill>
                  <bgColor theme="7"/>
                </patternFill>
              </fill>
            </x14:dxf>
          </x14:cfRule>
          <x14:cfRule type="expression" priority="34" id="{AF0A65A8-0F5C-DA4A-BF86-287AF43A4036}">
            <xm:f>PBW!$B$5="MP"</xm:f>
            <x14:dxf>
              <font>
                <b/>
                <i val="0"/>
                <strike val="0"/>
                <color theme="0"/>
              </font>
              <fill>
                <patternFill>
                  <bgColor theme="3"/>
                </patternFill>
              </fill>
            </x14:dxf>
          </x14:cfRule>
          <x14:cfRule type="expression" priority="35" id="{DF11EE30-240C-8640-9045-3C8526ECEEBF}">
            <xm:f>PBW!$B$5="MFR"</xm:f>
            <x14:dxf>
              <font>
                <b/>
                <i val="0"/>
                <strike val="0"/>
                <color theme="0"/>
              </font>
              <fill>
                <patternFill>
                  <bgColor theme="9" tint="-0.24994659260841701"/>
                </patternFill>
              </fill>
            </x14:dxf>
          </x14:cfRule>
          <x14:cfRule type="expression" priority="36" id="{4C199ED4-2256-4248-9032-F8BC1EB24CCB}">
            <xm:f>PBW!$B$5="IS"</xm:f>
            <x14:dxf>
              <font>
                <b/>
                <i val="0"/>
                <strike val="0"/>
                <color theme="0"/>
              </font>
              <fill>
                <patternFill>
                  <bgColor rgb="FFBE9000"/>
                </patternFill>
              </fill>
            </x14:dxf>
          </x14:cfRule>
          <x14:cfRule type="expression" priority="37" id="{A9C7EC13-1E17-B742-AF3B-55472D8ED46C}">
            <xm:f>PBW!$B$5="AA"</xm:f>
            <x14:dxf>
              <font>
                <b/>
                <i val="0"/>
                <strike val="0"/>
                <color theme="0"/>
              </font>
              <fill>
                <patternFill>
                  <bgColor rgb="FF538135"/>
                </patternFill>
              </fill>
            </x14:dxf>
          </x14:cfRule>
          <xm:sqref>A1:H1</xm:sqref>
        </x14:conditionalFormatting>
        <x14:conditionalFormatting xmlns:xm="http://schemas.microsoft.com/office/excel/2006/main">
          <x14:cfRule type="expression" priority="26" id="{50DFEB43-4015-034A-A515-0DF1747DDC6B}">
            <xm:f>PBW!$B$5="SP"</xm:f>
            <x14:dxf>
              <font>
                <b/>
                <i val="0"/>
                <strike val="0"/>
                <color theme="5"/>
              </font>
              <fill>
                <patternFill>
                  <bgColor theme="5" tint="0.79998168889431442"/>
                </patternFill>
              </fill>
            </x14:dxf>
          </x14:cfRule>
          <x14:cfRule type="expression" priority="27" id="{68DE48B0-B4DA-5944-9EF2-7D2A3E3FE36F}">
            <xm:f>PBW!$B$5="P&amp;D"</xm:f>
            <x14:dxf>
              <font>
                <b/>
                <i val="0"/>
                <strike val="0"/>
                <color theme="7"/>
              </font>
              <fill>
                <patternFill>
                  <bgColor theme="7" tint="0.79998168889431442"/>
                </patternFill>
              </fill>
            </x14:dxf>
          </x14:cfRule>
          <x14:cfRule type="expression" priority="28" id="{C4AF4E20-A816-AA4A-B173-E4994EF449DA}">
            <xm:f>PBW!$B$5="MP"</xm:f>
            <x14:dxf>
              <font>
                <b/>
                <i val="0"/>
                <strike val="0"/>
                <color theme="3"/>
              </font>
              <fill>
                <patternFill>
                  <bgColor theme="4" tint="0.79998168889431442"/>
                </patternFill>
              </fill>
            </x14:dxf>
          </x14:cfRule>
          <x14:cfRule type="expression" priority="29" id="{ABAC261C-77D6-3C46-9F4D-048AC7D179C8}">
            <xm:f>PBW!$B$5="MFR"</xm:f>
            <x14:dxf>
              <font>
                <b/>
                <i val="0"/>
                <strike val="0"/>
                <color theme="9" tint="-0.24994659260841701"/>
              </font>
              <fill>
                <patternFill>
                  <bgColor theme="9" tint="0.79998168889431442"/>
                </patternFill>
              </fill>
            </x14:dxf>
          </x14:cfRule>
          <x14:cfRule type="expression" priority="30" id="{A6FCB951-6736-884B-B0F6-A00FBBAC5E78}">
            <xm:f>PBW!$B$5="IS"</xm:f>
            <x14:dxf>
              <font>
                <b/>
                <i val="0"/>
                <strike val="0"/>
                <color rgb="FF7F6000"/>
              </font>
              <fill>
                <patternFill>
                  <bgColor rgb="FFFFF3CC"/>
                </patternFill>
              </fill>
            </x14:dxf>
          </x14:cfRule>
          <x14:cfRule type="expression" priority="31" id="{79C35D21-8071-0546-9E8E-CD570195A84C}">
            <xm:f>PBW!$B$5="AA"</xm:f>
            <x14:dxf>
              <font>
                <b/>
                <i val="0"/>
                <strike val="0"/>
                <color rgb="FF538134"/>
              </font>
              <fill>
                <patternFill>
                  <bgColor rgb="FFE2EFDA"/>
                </patternFill>
              </fill>
            </x14:dxf>
          </x14:cfRule>
          <xm:sqref>A24:G24 A28:G28 A32:G32 A34:G34 A36:G36 A40:G40</xm:sqref>
        </x14:conditionalFormatting>
        <x14:conditionalFormatting xmlns:xm="http://schemas.microsoft.com/office/excel/2006/main">
          <x14:cfRule type="expression" priority="20" id="{81C25943-6BA2-1844-AA5E-977EFECB0FB7}">
            <xm:f>PBW!$B$5="SP"</xm:f>
            <x14:dxf>
              <font>
                <b/>
                <i val="0"/>
                <strike val="0"/>
                <color theme="0"/>
              </font>
              <fill>
                <patternFill>
                  <bgColor theme="5"/>
                </patternFill>
              </fill>
            </x14:dxf>
          </x14:cfRule>
          <x14:cfRule type="expression" priority="21" id="{7F6C222B-2E2C-744E-ADD3-47470A493125}">
            <xm:f>PBW!$B$5="P&amp;D"</xm:f>
            <x14:dxf>
              <font>
                <b/>
                <i val="0"/>
                <strike val="0"/>
                <color theme="0"/>
              </font>
              <fill>
                <patternFill>
                  <bgColor theme="7"/>
                </patternFill>
              </fill>
            </x14:dxf>
          </x14:cfRule>
          <x14:cfRule type="expression" priority="22" id="{A2A71C1A-AB09-8540-9057-4A6A8BEBFF3C}">
            <xm:f>PBW!$B$5="MP"</xm:f>
            <x14:dxf>
              <font>
                <b/>
                <i val="0"/>
                <strike val="0"/>
                <color theme="0"/>
              </font>
              <fill>
                <patternFill>
                  <bgColor theme="3"/>
                </patternFill>
              </fill>
            </x14:dxf>
          </x14:cfRule>
          <x14:cfRule type="expression" priority="23" id="{214BE280-FF3D-1340-987F-312E7D6E54A2}">
            <xm:f>PBW!$B$5="MFR"</xm:f>
            <x14:dxf>
              <font>
                <b/>
                <i val="0"/>
                <strike val="0"/>
                <color theme="0"/>
              </font>
              <fill>
                <patternFill>
                  <bgColor theme="9" tint="-0.24994659260841701"/>
                </patternFill>
              </fill>
            </x14:dxf>
          </x14:cfRule>
          <x14:cfRule type="expression" priority="24" id="{9FF15270-4823-8242-BE10-4C0CDC75F100}">
            <xm:f>PBW!$B$5="IS"</xm:f>
            <x14:dxf>
              <font>
                <b/>
                <i val="0"/>
                <strike val="0"/>
                <color theme="0"/>
              </font>
              <fill>
                <patternFill>
                  <bgColor rgb="FFBE9000"/>
                </patternFill>
              </fill>
            </x14:dxf>
          </x14:cfRule>
          <x14:cfRule type="expression" priority="25" id="{A752918C-7ED4-5849-9BA7-29FE7B7BF4DD}">
            <xm:f>PBW!$B$5="AA"</xm:f>
            <x14:dxf>
              <font>
                <b/>
                <i val="0"/>
                <strike val="0"/>
                <color theme="0"/>
              </font>
              <fill>
                <patternFill>
                  <bgColor rgb="FF538134"/>
                </patternFill>
              </fill>
            </x14:dxf>
          </x14:cfRule>
          <xm:sqref>A46:D46 F46:H46</xm:sqref>
        </x14:conditionalFormatting>
        <x14:conditionalFormatting xmlns:xm="http://schemas.microsoft.com/office/excel/2006/main">
          <x14:cfRule type="expression" priority="18" id="{210D19D1-69D6-8445-B0BF-7C1DB1A9D76C}">
            <xm:f>PBW!$B$5="AA"</xm:f>
            <x14:dxf>
              <font>
                <strike val="0"/>
                <color rgb="FF538134"/>
              </font>
            </x14:dxf>
          </x14:cfRule>
          <xm:sqref>H48:I53 D48:D49 D54:D56 D51:D52</xm:sqref>
        </x14:conditionalFormatting>
        <x14:conditionalFormatting xmlns:xm="http://schemas.microsoft.com/office/excel/2006/main">
          <x14:cfRule type="expression" priority="17" id="{03313E31-935B-5348-84F8-E00E1190B85E}">
            <xm:f>PBW!$B$5="IS"</xm:f>
            <x14:dxf>
              <font>
                <strike val="0"/>
                <color rgb="FF7F6000"/>
              </font>
            </x14:dxf>
          </x14:cfRule>
          <xm:sqref>H48:I53 D48:D49 D54:D56 D51:D52</xm:sqref>
        </x14:conditionalFormatting>
        <x14:conditionalFormatting xmlns:xm="http://schemas.microsoft.com/office/excel/2006/main">
          <x14:cfRule type="expression" priority="16" id="{28ADFC0A-E9DF-F44D-8F5A-EE343020C784}">
            <xm:f>PBW!$B$5="MFR"</xm:f>
            <x14:dxf>
              <font>
                <strike val="0"/>
                <color theme="9" tint="-0.24994659260841701"/>
              </font>
            </x14:dxf>
          </x14:cfRule>
          <xm:sqref>H48:I53 D48:D49 D54:D56 D51:D52</xm:sqref>
        </x14:conditionalFormatting>
        <x14:conditionalFormatting xmlns:xm="http://schemas.microsoft.com/office/excel/2006/main">
          <x14:cfRule type="expression" priority="15" id="{7E1FD705-40BF-494E-95F4-7FE4A8AF7970}">
            <xm:f>PBW!$B$5="MP"</xm:f>
            <x14:dxf>
              <font>
                <strike val="0"/>
                <color theme="3"/>
              </font>
            </x14:dxf>
          </x14:cfRule>
          <xm:sqref>H48:I53 D48:D49 D54:D56 D51:D52</xm:sqref>
        </x14:conditionalFormatting>
        <x14:conditionalFormatting xmlns:xm="http://schemas.microsoft.com/office/excel/2006/main">
          <x14:cfRule type="expression" priority="14" id="{2D1669D5-E2C2-4643-A300-A5F4C5EE80D2}">
            <xm:f>PBW!$B$5="P&amp;D"</xm:f>
            <x14:dxf>
              <font>
                <strike val="0"/>
                <color theme="7"/>
              </font>
            </x14:dxf>
          </x14:cfRule>
          <xm:sqref>H48:I53 D48:D49 D54:D56 D51:D52</xm:sqref>
        </x14:conditionalFormatting>
        <x14:conditionalFormatting xmlns:xm="http://schemas.microsoft.com/office/excel/2006/main">
          <x14:cfRule type="expression" priority="13" id="{A2E128A8-1426-F74A-AA75-AA530DE0261C}">
            <xm:f>PBW!$B$5="SP"</xm:f>
            <x14:dxf>
              <font>
                <strike val="0"/>
                <color theme="5"/>
              </font>
            </x14:dxf>
          </x14:cfRule>
          <xm:sqref>H48:I53 D48:D49 D54:D56 D51:D52</xm:sqref>
        </x14:conditionalFormatting>
        <x14:conditionalFormatting xmlns:xm="http://schemas.microsoft.com/office/excel/2006/main">
          <x14:cfRule type="expression" priority="6" id="{6485BA7D-0536-BE4F-AD29-F71974EE9805}">
            <xm:f>PBW!$B$5="AA"</xm:f>
            <x14:dxf>
              <font>
                <b/>
                <i val="0"/>
                <strike val="0"/>
                <color rgb="FF538134"/>
              </font>
            </x14:dxf>
          </x14:cfRule>
          <xm:sqref>D50 D53 D57 H54:I54</xm:sqref>
        </x14:conditionalFormatting>
        <x14:conditionalFormatting xmlns:xm="http://schemas.microsoft.com/office/excel/2006/main">
          <x14:cfRule type="expression" priority="5" id="{90446603-B349-434F-91AC-BCC1264519D9}">
            <xm:f>PBW!$B$5="IS"</xm:f>
            <x14:dxf>
              <font>
                <b/>
                <i val="0"/>
                <strike val="0"/>
                <color rgb="FF7F6000"/>
              </font>
            </x14:dxf>
          </x14:cfRule>
          <xm:sqref>D50 D53 D57 H54:I54</xm:sqref>
        </x14:conditionalFormatting>
        <x14:conditionalFormatting xmlns:xm="http://schemas.microsoft.com/office/excel/2006/main">
          <x14:cfRule type="expression" priority="4" id="{5E166543-DE82-8B4D-BF02-8816DB4FA0B3}">
            <xm:f>PBW!$B$5="MFR"</xm:f>
            <x14:dxf>
              <font>
                <b/>
                <i val="0"/>
                <strike val="0"/>
                <color theme="9" tint="-0.24994659260841701"/>
              </font>
            </x14:dxf>
          </x14:cfRule>
          <xm:sqref>D50 D53 D57 H54:I54</xm:sqref>
        </x14:conditionalFormatting>
        <x14:conditionalFormatting xmlns:xm="http://schemas.microsoft.com/office/excel/2006/main">
          <x14:cfRule type="expression" priority="3" id="{A846DB35-BD14-D146-B75E-9816F423A74B}">
            <xm:f>PBW!$B$5="MP"</xm:f>
            <x14:dxf>
              <font>
                <b/>
                <i val="0"/>
                <strike val="0"/>
                <color theme="3"/>
              </font>
            </x14:dxf>
          </x14:cfRule>
          <xm:sqref>D50 D53 D57 H54:I54</xm:sqref>
        </x14:conditionalFormatting>
        <x14:conditionalFormatting xmlns:xm="http://schemas.microsoft.com/office/excel/2006/main">
          <x14:cfRule type="expression" priority="2" id="{F2B193A2-474F-AD4C-98D4-763EC5456223}">
            <xm:f>PBW!$B$5="P&amp;D"</xm:f>
            <x14:dxf>
              <font>
                <b/>
                <i val="0"/>
                <strike val="0"/>
                <color theme="7"/>
              </font>
            </x14:dxf>
          </x14:cfRule>
          <xm:sqref>D50 D53 D57 H54:I54</xm:sqref>
        </x14:conditionalFormatting>
        <x14:conditionalFormatting xmlns:xm="http://schemas.microsoft.com/office/excel/2006/main">
          <x14:cfRule type="expression" priority="1" id="{3B0F4469-1EC3-2949-8F77-1B163C479A6A}">
            <xm:f>PBW!$B$5="SP"</xm:f>
            <x14:dxf>
              <font>
                <b/>
                <i val="0"/>
                <strike val="0"/>
                <color theme="5"/>
              </font>
            </x14:dxf>
          </x14:cfRule>
          <xm:sqref>D50 D53 D57 H54:I54</xm:sqref>
        </x14:conditionalFormatting>
      </x14:conditionalFormattings>
    </ex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5"/>
  </sheetPr>
  <dimension ref="A1:H191"/>
  <sheetViews>
    <sheetView showGridLines="0" tabSelected="1" view="pageLayout" zoomScaleNormal="100" workbookViewId="0">
      <selection activeCell="B3" sqref="B3:E3"/>
    </sheetView>
  </sheetViews>
  <sheetFormatPr baseColWidth="10" defaultColWidth="8.19921875" defaultRowHeight="12"/>
  <cols>
    <col min="1" max="1" width="20" customWidth="1"/>
    <col min="2" max="2" width="18" customWidth="1"/>
    <col min="3" max="3" width="11.796875" customWidth="1"/>
    <col min="4" max="4" width="13.59765625" customWidth="1"/>
    <col min="5" max="5" width="11.796875" customWidth="1"/>
    <col min="6" max="6" width="10" customWidth="1"/>
    <col min="7" max="8" width="13.59765625" customWidth="1"/>
  </cols>
  <sheetData>
    <row r="1" spans="1:8" ht="13">
      <c r="A1" s="93" t="s">
        <v>20</v>
      </c>
      <c r="B1" s="94"/>
      <c r="C1" s="94"/>
      <c r="D1" s="94"/>
      <c r="E1" s="94"/>
      <c r="F1" s="94"/>
      <c r="G1" s="94"/>
      <c r="H1" s="95" t="str">
        <f>"PROJECT BUDGET WORKSHEET"&amp;" "&amp;VERSION</f>
        <v>PROJECT BUDGET WORKSHEET Rev. 2023-03</v>
      </c>
    </row>
    <row r="2" spans="1:8" ht="6" customHeight="1">
      <c r="A2" s="5"/>
      <c r="B2" s="5"/>
      <c r="C2" s="5"/>
      <c r="D2" s="5"/>
      <c r="E2" s="5"/>
      <c r="F2" s="1" t="s">
        <v>21</v>
      </c>
      <c r="G2" s="5"/>
      <c r="H2" s="5"/>
    </row>
    <row r="3" spans="1:8">
      <c r="A3" s="2" t="s">
        <v>22</v>
      </c>
      <c r="B3" s="562" t="s">
        <v>101</v>
      </c>
      <c r="C3" s="562"/>
      <c r="D3" s="562"/>
      <c r="E3" s="562"/>
      <c r="F3" s="1" t="s">
        <v>174</v>
      </c>
      <c r="G3" s="5"/>
      <c r="H3" s="48">
        <f ca="1">NOW()</f>
        <v>44986.704273263887</v>
      </c>
    </row>
    <row r="4" spans="1:8">
      <c r="A4" s="2" t="s">
        <v>102</v>
      </c>
      <c r="B4" s="557" t="s">
        <v>101</v>
      </c>
      <c r="C4" s="557"/>
      <c r="D4" s="557"/>
      <c r="E4" s="557"/>
      <c r="F4" s="1" t="s">
        <v>175</v>
      </c>
      <c r="G4" s="8"/>
      <c r="H4" s="49" t="s">
        <v>4</v>
      </c>
    </row>
    <row r="5" spans="1:8" ht="13" thickBot="1">
      <c r="A5" s="11" t="s">
        <v>270</v>
      </c>
      <c r="B5" s="385" t="s">
        <v>101</v>
      </c>
      <c r="C5" s="374" t="str">
        <f>VLOOKUP(B5,PROJECTTYPE,2,FALSE)</f>
        <v>UNSPECIFIED</v>
      </c>
      <c r="D5" s="5"/>
      <c r="E5" s="5"/>
      <c r="F5" s="5" t="s">
        <v>53</v>
      </c>
      <c r="G5" s="5"/>
      <c r="H5" s="50" t="s">
        <v>4</v>
      </c>
    </row>
    <row r="6" spans="1:8" ht="13" thickBot="1">
      <c r="A6" s="2" t="s">
        <v>103</v>
      </c>
      <c r="B6" s="557" t="s">
        <v>101</v>
      </c>
      <c r="C6" s="557"/>
      <c r="D6" s="557"/>
      <c r="E6" s="557"/>
      <c r="F6" s="2" t="s">
        <v>80</v>
      </c>
      <c r="G6" s="5"/>
      <c r="H6" s="324">
        <f>VALUE($H$179)</f>
        <v>0</v>
      </c>
    </row>
    <row r="7" spans="1:8" ht="6" customHeight="1">
      <c r="A7" s="5"/>
      <c r="B7" s="5"/>
      <c r="C7" s="5"/>
      <c r="D7" s="5"/>
      <c r="E7" s="5"/>
      <c r="F7" s="5"/>
      <c r="G7" s="5"/>
      <c r="H7" s="5"/>
    </row>
    <row r="8" spans="1:8">
      <c r="A8" s="2" t="s">
        <v>24</v>
      </c>
      <c r="B8" s="5"/>
      <c r="C8" s="5"/>
      <c r="D8" s="5"/>
      <c r="E8" s="5"/>
      <c r="F8" s="5"/>
      <c r="G8" s="211" t="s">
        <v>176</v>
      </c>
      <c r="H8" s="207" t="s">
        <v>177</v>
      </c>
    </row>
    <row r="9" spans="1:8">
      <c r="A9" s="1" t="s">
        <v>25</v>
      </c>
      <c r="B9" s="46">
        <f>($B$25)</f>
        <v>0</v>
      </c>
      <c r="C9" s="5"/>
      <c r="D9" s="5"/>
      <c r="E9" s="5"/>
      <c r="F9" s="1" t="s">
        <v>62</v>
      </c>
      <c r="G9" s="414">
        <f>INDEX(ENR!$B$19:$M$99,MATCH(YEAR($H$9),ENR!$A$19:$A$99,1),MATCH(MONTH($H$9),ENR!$B$18:$M$18,1))</f>
        <v>7976.68</v>
      </c>
      <c r="H9" s="208">
        <v>44927</v>
      </c>
    </row>
    <row r="10" spans="1:8">
      <c r="A10" s="1" t="s">
        <v>26</v>
      </c>
      <c r="B10" s="47">
        <f>($D$25)</f>
        <v>0</v>
      </c>
      <c r="C10" s="74">
        <f>IF(ISERR($B$9/$B$10),0,($B$9/$B$10))</f>
        <v>0</v>
      </c>
      <c r="D10" s="5" t="s">
        <v>58</v>
      </c>
      <c r="E10" s="221" t="str">
        <f>IF($H$10&lt;$H$9,"ERROR!","")</f>
        <v/>
      </c>
      <c r="F10" s="1" t="s">
        <v>285</v>
      </c>
      <c r="G10" s="414">
        <f>INDEX(ENR!$B$19:$M$99,MATCH(YEAR($H$10),ENR!$A$19:$A$99,1),MATCH(MONTH($H$10),ENR!$B$18:$M$18,1))</f>
        <v>14068.091119606019</v>
      </c>
      <c r="H10" s="209">
        <v>47300</v>
      </c>
    </row>
    <row r="11" spans="1:8">
      <c r="A11" s="1"/>
      <c r="B11" s="3"/>
      <c r="C11" s="4"/>
      <c r="D11" s="5"/>
      <c r="E11" s="5"/>
      <c r="F11" s="1" t="s">
        <v>256</v>
      </c>
      <c r="G11" s="5"/>
      <c r="H11" s="214">
        <f>($G$10/$G$9)</f>
        <v>1.763652436804036</v>
      </c>
    </row>
    <row r="12" spans="1:8">
      <c r="A12" s="2" t="s">
        <v>27</v>
      </c>
      <c r="B12" s="9"/>
      <c r="C12" s="8"/>
      <c r="D12" s="5"/>
      <c r="E12" s="212" t="str">
        <f>IF($H$12&lt;&gt;$H$11,"WARNING! ENR ESCALATION VALUES DO NOT MATCH!","")</f>
        <v/>
      </c>
      <c r="F12" s="1" t="s">
        <v>430</v>
      </c>
      <c r="G12" s="5"/>
      <c r="H12" s="441">
        <f>($H$11)</f>
        <v>1.763652436804036</v>
      </c>
    </row>
    <row r="13" spans="1:8">
      <c r="A13" s="1" t="s">
        <v>29</v>
      </c>
      <c r="B13" s="46">
        <f>($D$39)</f>
        <v>0</v>
      </c>
      <c r="C13" s="8"/>
      <c r="D13" s="5"/>
      <c r="E13" s="5"/>
      <c r="F13" s="1" t="s">
        <v>186</v>
      </c>
      <c r="G13" s="5"/>
      <c r="H13" s="214">
        <f>($H$12-$H$11)</f>
        <v>0</v>
      </c>
    </row>
    <row r="14" spans="1:8">
      <c r="A14" s="1" t="s">
        <v>30</v>
      </c>
      <c r="B14" s="47">
        <v>0</v>
      </c>
      <c r="C14" s="74">
        <f>IF(ISERR($B$13/$B$14),0,($B$13/$B$14))</f>
        <v>0</v>
      </c>
      <c r="D14" s="5" t="s">
        <v>59</v>
      </c>
      <c r="E14" s="5"/>
      <c r="F14" s="1" t="s">
        <v>173</v>
      </c>
      <c r="G14" s="210" t="str">
        <f>IF($H$179&gt;5000,((VLOOKUP($H$179,DURATION,3))/365)*(12)&amp;" months","")</f>
        <v/>
      </c>
      <c r="H14" s="36" t="str">
        <f>IF($H$179&gt;5000,((VLOOKUP($H$179,DURATION,3))+$H$10),"")</f>
        <v/>
      </c>
    </row>
    <row r="15" spans="1:8" ht="6" customHeight="1" thickBot="1">
      <c r="A15" s="10"/>
      <c r="B15" s="10"/>
      <c r="C15" s="10"/>
      <c r="D15" s="10"/>
      <c r="E15" s="10"/>
      <c r="F15" s="10"/>
      <c r="G15" s="10"/>
      <c r="H15" s="10"/>
    </row>
    <row r="16" spans="1:8">
      <c r="A16" s="2" t="s">
        <v>49</v>
      </c>
      <c r="B16" s="11"/>
      <c r="C16" s="5"/>
      <c r="D16" s="5"/>
      <c r="E16" s="5"/>
      <c r="F16" s="5"/>
      <c r="G16" s="12"/>
      <c r="H16" s="5"/>
    </row>
    <row r="17" spans="1:8">
      <c r="A17" s="1" t="s">
        <v>31</v>
      </c>
      <c r="B17" s="12" t="s">
        <v>32</v>
      </c>
      <c r="C17" s="12" t="s">
        <v>33</v>
      </c>
      <c r="D17" s="14" t="s">
        <v>34</v>
      </c>
      <c r="E17" s="12" t="s">
        <v>35</v>
      </c>
      <c r="F17" s="14"/>
      <c r="G17" s="14" t="s">
        <v>1</v>
      </c>
      <c r="H17" s="5"/>
    </row>
    <row r="18" spans="1:8">
      <c r="A18" s="96" t="s">
        <v>52</v>
      </c>
      <c r="B18" s="97">
        <v>0</v>
      </c>
      <c r="C18" s="98">
        <v>0</v>
      </c>
      <c r="D18" s="99">
        <f>IF($B18&gt;0,ROUND($B18/$C18,-2),0)</f>
        <v>0</v>
      </c>
      <c r="E18" s="100">
        <v>0</v>
      </c>
      <c r="F18" s="101"/>
      <c r="G18" s="102">
        <f>ROUND($D18*$E18,-2)</f>
        <v>0</v>
      </c>
      <c r="H18" s="5"/>
    </row>
    <row r="19" spans="1:8">
      <c r="A19" s="51" t="s">
        <v>52</v>
      </c>
      <c r="B19" s="52">
        <v>0</v>
      </c>
      <c r="C19" s="86">
        <v>0</v>
      </c>
      <c r="D19" s="37">
        <f>IF($B19&gt;0,ROUND($B19/$C19,-2),0)</f>
        <v>0</v>
      </c>
      <c r="E19" s="62">
        <v>0</v>
      </c>
      <c r="F19" s="15"/>
      <c r="G19" s="32">
        <f>ROUND($D19*$E19,-2)</f>
        <v>0</v>
      </c>
      <c r="H19" s="5"/>
    </row>
    <row r="20" spans="1:8">
      <c r="A20" s="51" t="s">
        <v>52</v>
      </c>
      <c r="B20" s="52">
        <v>0</v>
      </c>
      <c r="C20" s="86">
        <v>0</v>
      </c>
      <c r="D20" s="37">
        <f t="shared" ref="D20:D22" si="0">IF($B20&gt;0,ROUND($B20/$C20,-2),0)</f>
        <v>0</v>
      </c>
      <c r="E20" s="62">
        <v>0</v>
      </c>
      <c r="F20" s="15"/>
      <c r="G20" s="32">
        <f t="shared" ref="G20:G22" si="1">ROUND($D20*$E20,-2)</f>
        <v>0</v>
      </c>
      <c r="H20" s="5"/>
    </row>
    <row r="21" spans="1:8">
      <c r="A21" s="103" t="s">
        <v>52</v>
      </c>
      <c r="B21" s="104">
        <v>0</v>
      </c>
      <c r="C21" s="105">
        <v>0</v>
      </c>
      <c r="D21" s="106">
        <f t="shared" si="0"/>
        <v>0</v>
      </c>
      <c r="E21" s="107">
        <v>0</v>
      </c>
      <c r="F21" s="108"/>
      <c r="G21" s="109">
        <f t="shared" si="1"/>
        <v>0</v>
      </c>
      <c r="H21" s="5"/>
    </row>
    <row r="22" spans="1:8">
      <c r="A22" s="51" t="s">
        <v>52</v>
      </c>
      <c r="B22" s="52">
        <v>0</v>
      </c>
      <c r="C22" s="86">
        <v>0</v>
      </c>
      <c r="D22" s="37">
        <f t="shared" si="0"/>
        <v>0</v>
      </c>
      <c r="E22" s="62">
        <v>0</v>
      </c>
      <c r="F22" s="15"/>
      <c r="G22" s="32">
        <f t="shared" si="1"/>
        <v>0</v>
      </c>
      <c r="H22" s="5"/>
    </row>
    <row r="23" spans="1:8">
      <c r="A23" s="51" t="s">
        <v>52</v>
      </c>
      <c r="B23" s="52">
        <v>0</v>
      </c>
      <c r="C23" s="86">
        <v>0</v>
      </c>
      <c r="D23" s="37">
        <f>IF($B23&gt;0,ROUND($B23/$C23,-2),0)</f>
        <v>0</v>
      </c>
      <c r="E23" s="62">
        <v>0</v>
      </c>
      <c r="F23" s="15"/>
      <c r="G23" s="32">
        <f>ROUND($D23*$E23,-2)</f>
        <v>0</v>
      </c>
      <c r="H23" s="5"/>
    </row>
    <row r="24" spans="1:8">
      <c r="A24" s="110" t="s">
        <v>52</v>
      </c>
      <c r="B24" s="111">
        <v>0</v>
      </c>
      <c r="C24" s="112">
        <v>0</v>
      </c>
      <c r="D24" s="99">
        <f>IF($B24&gt;0,ROUND($B24/$C24,-2),0)</f>
        <v>0</v>
      </c>
      <c r="E24" s="113">
        <v>0</v>
      </c>
      <c r="F24" s="101"/>
      <c r="G24" s="102">
        <f>ROUND($D24*$E24,-2)</f>
        <v>0</v>
      </c>
      <c r="H24" s="5"/>
    </row>
    <row r="25" spans="1:8">
      <c r="A25" s="5"/>
      <c r="B25" s="28">
        <f>SUM(B$18:B$24)</f>
        <v>0</v>
      </c>
      <c r="C25" s="3"/>
      <c r="D25" s="28">
        <f>SUM(D$18:D$24)</f>
        <v>0</v>
      </c>
      <c r="E25" s="32"/>
      <c r="F25" s="1" t="s">
        <v>36</v>
      </c>
      <c r="G25" s="32">
        <f>ROUND(SUM(G$18:G$24),-3)</f>
        <v>0</v>
      </c>
      <c r="H25" s="5"/>
    </row>
    <row r="26" spans="1:8">
      <c r="A26" s="5" t="s">
        <v>139</v>
      </c>
      <c r="B26" s="3"/>
      <c r="C26" s="3"/>
      <c r="D26" s="3"/>
      <c r="E26" s="3"/>
      <c r="F26" s="1"/>
      <c r="G26" s="3"/>
      <c r="H26" s="132">
        <f>($G$25)</f>
        <v>0</v>
      </c>
    </row>
    <row r="27" spans="1:8" ht="6" customHeight="1">
      <c r="A27" s="5"/>
      <c r="B27" s="3"/>
      <c r="C27" s="3"/>
      <c r="D27" s="3"/>
      <c r="E27" s="3"/>
      <c r="F27" s="1"/>
      <c r="G27" s="3"/>
      <c r="H27" s="16"/>
    </row>
    <row r="28" spans="1:8">
      <c r="A28" s="2" t="s">
        <v>50</v>
      </c>
      <c r="B28" s="11"/>
      <c r="C28" s="5"/>
      <c r="D28" s="5"/>
      <c r="E28" s="5"/>
      <c r="F28" s="5"/>
      <c r="G28" s="12"/>
      <c r="H28" s="5"/>
    </row>
    <row r="29" spans="1:8">
      <c r="A29" s="1" t="s">
        <v>31</v>
      </c>
      <c r="B29" s="12" t="s">
        <v>32</v>
      </c>
      <c r="C29" s="12" t="s">
        <v>33</v>
      </c>
      <c r="D29" s="14" t="s">
        <v>34</v>
      </c>
      <c r="E29" s="12" t="s">
        <v>35</v>
      </c>
      <c r="F29" s="14"/>
      <c r="G29" s="14" t="s">
        <v>1</v>
      </c>
      <c r="H29" s="5"/>
    </row>
    <row r="30" spans="1:8">
      <c r="A30" s="96" t="s">
        <v>52</v>
      </c>
      <c r="B30" s="97">
        <v>0</v>
      </c>
      <c r="C30" s="98">
        <v>0</v>
      </c>
      <c r="D30" s="99">
        <f>IF($B30&gt;0,ROUND($B30/$C30,-2),0)</f>
        <v>0</v>
      </c>
      <c r="E30" s="100">
        <v>0</v>
      </c>
      <c r="F30" s="101"/>
      <c r="G30" s="102">
        <f>ROUND($D30*$E30,-2)</f>
        <v>0</v>
      </c>
      <c r="H30" s="5"/>
    </row>
    <row r="31" spans="1:8">
      <c r="A31" s="51" t="s">
        <v>52</v>
      </c>
      <c r="B31" s="52">
        <v>0</v>
      </c>
      <c r="C31" s="86">
        <v>0</v>
      </c>
      <c r="D31" s="37">
        <f>IF($B31&gt;0,ROUND($B31/$C31,-2),0)</f>
        <v>0</v>
      </c>
      <c r="E31" s="62">
        <v>0</v>
      </c>
      <c r="F31" s="15"/>
      <c r="G31" s="32">
        <f>ROUND($D31*$E31,-2)</f>
        <v>0</v>
      </c>
      <c r="H31" s="5"/>
    </row>
    <row r="32" spans="1:8">
      <c r="A32" s="51" t="s">
        <v>52</v>
      </c>
      <c r="B32" s="52">
        <v>0</v>
      </c>
      <c r="C32" s="86">
        <v>0</v>
      </c>
      <c r="D32" s="37">
        <f t="shared" ref="D32:D35" si="2">IF($B32&gt;0,ROUND($B32/$C32,-2),0)</f>
        <v>0</v>
      </c>
      <c r="E32" s="62">
        <v>0</v>
      </c>
      <c r="F32" s="15"/>
      <c r="G32" s="32">
        <f t="shared" ref="G32:G35" si="3">ROUND($D32*$E32,-2)</f>
        <v>0</v>
      </c>
      <c r="H32" s="5"/>
    </row>
    <row r="33" spans="1:8">
      <c r="A33" s="51" t="s">
        <v>52</v>
      </c>
      <c r="B33" s="52">
        <v>0</v>
      </c>
      <c r="C33" s="86">
        <v>0</v>
      </c>
      <c r="D33" s="37">
        <f t="shared" si="2"/>
        <v>0</v>
      </c>
      <c r="E33" s="62">
        <v>0</v>
      </c>
      <c r="F33" s="15"/>
      <c r="G33" s="32">
        <f t="shared" si="3"/>
        <v>0</v>
      </c>
      <c r="H33" s="5"/>
    </row>
    <row r="34" spans="1:8">
      <c r="A34" s="103" t="s">
        <v>52</v>
      </c>
      <c r="B34" s="104">
        <v>0</v>
      </c>
      <c r="C34" s="105">
        <v>0</v>
      </c>
      <c r="D34" s="106">
        <f t="shared" si="2"/>
        <v>0</v>
      </c>
      <c r="E34" s="107">
        <v>0</v>
      </c>
      <c r="F34" s="108"/>
      <c r="G34" s="109">
        <f t="shared" si="3"/>
        <v>0</v>
      </c>
      <c r="H34" s="5"/>
    </row>
    <row r="35" spans="1:8">
      <c r="A35" s="51" t="s">
        <v>52</v>
      </c>
      <c r="B35" s="52">
        <v>0</v>
      </c>
      <c r="C35" s="86">
        <v>0</v>
      </c>
      <c r="D35" s="37">
        <f t="shared" si="2"/>
        <v>0</v>
      </c>
      <c r="E35" s="62">
        <v>0</v>
      </c>
      <c r="F35" s="15"/>
      <c r="G35" s="32">
        <f t="shared" si="3"/>
        <v>0</v>
      </c>
      <c r="H35" s="5"/>
    </row>
    <row r="36" spans="1:8">
      <c r="A36" s="51" t="s">
        <v>52</v>
      </c>
      <c r="B36" s="52">
        <v>0</v>
      </c>
      <c r="C36" s="86">
        <v>0</v>
      </c>
      <c r="D36" s="37">
        <f>IF($B36&gt;0,ROUND($B36/$C36,-2),0)</f>
        <v>0</v>
      </c>
      <c r="E36" s="62">
        <v>0</v>
      </c>
      <c r="F36" s="15"/>
      <c r="G36" s="32">
        <f>ROUND($D36*$E36,-2)</f>
        <v>0</v>
      </c>
      <c r="H36" s="5"/>
    </row>
    <row r="37" spans="1:8">
      <c r="A37" s="51" t="s">
        <v>52</v>
      </c>
      <c r="B37" s="52">
        <v>0</v>
      </c>
      <c r="C37" s="86">
        <v>0</v>
      </c>
      <c r="D37" s="37">
        <f>IF($B37&gt;0,ROUND($B37/$C37,-2),0)</f>
        <v>0</v>
      </c>
      <c r="E37" s="62">
        <v>0</v>
      </c>
      <c r="F37" s="15"/>
      <c r="G37" s="32">
        <f>ROUND($D37*$E37,-2)</f>
        <v>0</v>
      </c>
      <c r="H37" s="5"/>
    </row>
    <row r="38" spans="1:8">
      <c r="A38" s="110" t="s">
        <v>52</v>
      </c>
      <c r="B38" s="111">
        <v>0</v>
      </c>
      <c r="C38" s="112">
        <v>0</v>
      </c>
      <c r="D38" s="99">
        <f>IF($B38&gt;0,ROUND($B38/$C38,-2),0)</f>
        <v>0</v>
      </c>
      <c r="E38" s="113">
        <v>0</v>
      </c>
      <c r="F38" s="101"/>
      <c r="G38" s="102">
        <f>ROUND($D38*$E38,-2)</f>
        <v>0</v>
      </c>
      <c r="H38" s="5"/>
    </row>
    <row r="39" spans="1:8">
      <c r="A39" s="5"/>
      <c r="B39" s="28">
        <f>SUM(B$30:B$38)</f>
        <v>0</v>
      </c>
      <c r="C39" s="3"/>
      <c r="D39" s="28">
        <f>SUM(D$30:D$38)</f>
        <v>0</v>
      </c>
      <c r="E39" s="3"/>
      <c r="F39" s="1" t="s">
        <v>36</v>
      </c>
      <c r="G39" s="32">
        <f>ROUND(SUM(G$30:G$38),-3)</f>
        <v>0</v>
      </c>
      <c r="H39" s="132">
        <f>($G$39)</f>
        <v>0</v>
      </c>
    </row>
    <row r="40" spans="1:8">
      <c r="A40" s="11" t="s">
        <v>51</v>
      </c>
      <c r="B40" s="3"/>
      <c r="C40" s="3"/>
      <c r="D40" s="3"/>
      <c r="E40" s="3"/>
      <c r="F40" s="5"/>
      <c r="G40" s="12"/>
      <c r="H40" s="3"/>
    </row>
    <row r="41" spans="1:8">
      <c r="A41" s="13" t="s">
        <v>37</v>
      </c>
      <c r="B41" s="5"/>
      <c r="C41" s="5"/>
      <c r="D41" s="14" t="s">
        <v>34</v>
      </c>
      <c r="E41" s="14" t="s">
        <v>35</v>
      </c>
      <c r="F41" s="14" t="s">
        <v>438</v>
      </c>
      <c r="G41" s="14" t="s">
        <v>0</v>
      </c>
      <c r="H41" s="5"/>
    </row>
    <row r="42" spans="1:8">
      <c r="A42" s="114" t="s">
        <v>38</v>
      </c>
      <c r="B42" s="115" t="s">
        <v>87</v>
      </c>
      <c r="C42" s="116"/>
      <c r="D42" s="116"/>
      <c r="E42" s="116"/>
      <c r="F42" s="116"/>
      <c r="G42" s="116"/>
      <c r="H42" s="5"/>
    </row>
    <row r="43" spans="1:8">
      <c r="A43" s="536" t="s">
        <v>423</v>
      </c>
      <c r="B43" s="557" t="s">
        <v>101</v>
      </c>
      <c r="C43" s="558"/>
      <c r="D43" s="53">
        <v>0</v>
      </c>
      <c r="E43" s="63">
        <f t="shared" ref="E43:E46" si="4">($F43)</f>
        <v>16</v>
      </c>
      <c r="F43" s="65">
        <f>ROUNDUP((10*ENR!$S$15),0)</f>
        <v>16</v>
      </c>
      <c r="G43" s="32">
        <f>ROUND($D43*$E43,-2)</f>
        <v>0</v>
      </c>
      <c r="H43" s="45"/>
    </row>
    <row r="44" spans="1:8">
      <c r="A44" s="536" t="s">
        <v>424</v>
      </c>
      <c r="B44" s="557" t="s">
        <v>101</v>
      </c>
      <c r="C44" s="558"/>
      <c r="D44" s="54">
        <v>0</v>
      </c>
      <c r="E44" s="64">
        <f t="shared" si="4"/>
        <v>56</v>
      </c>
      <c r="F44" s="65">
        <f>ROUNDUP((35*ENR!$S$15),0)</f>
        <v>56</v>
      </c>
      <c r="G44" s="32">
        <f>ROUND($D44*$E44,-2)</f>
        <v>0</v>
      </c>
      <c r="H44" s="5"/>
    </row>
    <row r="45" spans="1:8">
      <c r="A45" s="536" t="s">
        <v>425</v>
      </c>
      <c r="B45" s="557" t="s">
        <v>101</v>
      </c>
      <c r="C45" s="558"/>
      <c r="D45" s="54">
        <v>0</v>
      </c>
      <c r="E45" s="64">
        <f t="shared" si="4"/>
        <v>92</v>
      </c>
      <c r="F45" s="65">
        <f>ROUNDUP((58.5*ENR!$S$15),0)</f>
        <v>92</v>
      </c>
      <c r="G45" s="32">
        <f>ROUND($D45*$E45,-2)</f>
        <v>0</v>
      </c>
      <c r="H45" s="5"/>
    </row>
    <row r="46" spans="1:8">
      <c r="A46" s="536" t="s">
        <v>426</v>
      </c>
      <c r="B46" s="557" t="s">
        <v>101</v>
      </c>
      <c r="C46" s="558"/>
      <c r="D46" s="55">
        <v>0</v>
      </c>
      <c r="E46" s="378">
        <f t="shared" si="4"/>
        <v>111</v>
      </c>
      <c r="F46" s="65">
        <f>ROUNDUP((70*ENR!$S$15),0)</f>
        <v>111</v>
      </c>
      <c r="G46" s="32">
        <f>ROUND($D46*$E46,-2)</f>
        <v>0</v>
      </c>
      <c r="H46" s="5"/>
    </row>
    <row r="47" spans="1:8">
      <c r="A47" s="114" t="s">
        <v>43</v>
      </c>
      <c r="B47" s="116"/>
      <c r="C47" s="116"/>
      <c r="D47" s="117"/>
      <c r="E47" s="118"/>
      <c r="F47" s="118"/>
      <c r="G47" s="119"/>
      <c r="H47" s="5"/>
    </row>
    <row r="48" spans="1:8">
      <c r="A48" s="536" t="s">
        <v>424</v>
      </c>
      <c r="B48" s="557" t="s">
        <v>101</v>
      </c>
      <c r="C48" s="558"/>
      <c r="D48" s="53">
        <v>0</v>
      </c>
      <c r="E48" s="63">
        <f t="shared" ref="E48:E51" si="5">($F48)</f>
        <v>18</v>
      </c>
      <c r="F48" s="65">
        <f>ROUNDUP((11.25*ENR!$S$15),0)</f>
        <v>18</v>
      </c>
      <c r="G48" s="32">
        <f>ROUND($D48*$E48,-2)</f>
        <v>0</v>
      </c>
      <c r="H48" s="5"/>
    </row>
    <row r="49" spans="1:8">
      <c r="A49" s="536" t="s">
        <v>425</v>
      </c>
      <c r="B49" s="557" t="s">
        <v>101</v>
      </c>
      <c r="C49" s="558"/>
      <c r="D49" s="54">
        <v>0</v>
      </c>
      <c r="E49" s="64">
        <f t="shared" si="5"/>
        <v>31</v>
      </c>
      <c r="F49" s="65">
        <f>ROUNDUP((19.5*ENR!$S$15),0)</f>
        <v>31</v>
      </c>
      <c r="G49" s="32">
        <f>ROUND($D49*$E49,-2)</f>
        <v>0</v>
      </c>
      <c r="H49" s="5"/>
    </row>
    <row r="50" spans="1:8">
      <c r="A50" s="536" t="s">
        <v>426</v>
      </c>
      <c r="B50" s="557" t="s">
        <v>101</v>
      </c>
      <c r="C50" s="558"/>
      <c r="D50" s="54">
        <v>0</v>
      </c>
      <c r="E50" s="64">
        <f t="shared" si="5"/>
        <v>35</v>
      </c>
      <c r="F50" s="65">
        <f>ROUNDUP((22*ENR!$S$15),0)</f>
        <v>35</v>
      </c>
      <c r="G50" s="32">
        <f>ROUND($D50*$E50,-2)</f>
        <v>0</v>
      </c>
      <c r="H50" s="5"/>
    </row>
    <row r="51" spans="1:8">
      <c r="A51" s="536" t="s">
        <v>427</v>
      </c>
      <c r="B51" s="557" t="s">
        <v>101</v>
      </c>
      <c r="C51" s="558"/>
      <c r="D51" s="55">
        <v>0</v>
      </c>
      <c r="E51" s="378">
        <f t="shared" si="5"/>
        <v>66</v>
      </c>
      <c r="F51" s="65">
        <f>ROUNDUP((41.5*ENR!$S$15),0)</f>
        <v>66</v>
      </c>
      <c r="G51" s="32">
        <f>ROUND($D51*$E51,-2)</f>
        <v>0</v>
      </c>
      <c r="H51" s="5"/>
    </row>
    <row r="52" spans="1:8">
      <c r="A52" s="114" t="s">
        <v>428</v>
      </c>
      <c r="B52" s="116"/>
      <c r="C52" s="116"/>
      <c r="D52" s="117"/>
      <c r="E52" s="118"/>
      <c r="F52" s="118"/>
      <c r="G52" s="119"/>
      <c r="H52" s="5"/>
    </row>
    <row r="53" spans="1:8">
      <c r="A53" s="536" t="s">
        <v>424</v>
      </c>
      <c r="B53" s="557" t="s">
        <v>101</v>
      </c>
      <c r="C53" s="558"/>
      <c r="D53" s="53">
        <v>0</v>
      </c>
      <c r="E53" s="63">
        <f t="shared" ref="E53:E55" si="6">($F53)</f>
        <v>24</v>
      </c>
      <c r="F53" s="65">
        <f>ROUNDUP((15*ENR!$S$15),0)</f>
        <v>24</v>
      </c>
      <c r="G53" s="32">
        <f>ROUND($D53*$E53,-2)</f>
        <v>0</v>
      </c>
      <c r="H53" s="5"/>
    </row>
    <row r="54" spans="1:8">
      <c r="A54" s="536" t="s">
        <v>425</v>
      </c>
      <c r="B54" s="557" t="s">
        <v>101</v>
      </c>
      <c r="C54" s="558"/>
      <c r="D54" s="54">
        <v>0</v>
      </c>
      <c r="E54" s="64">
        <f t="shared" si="6"/>
        <v>51</v>
      </c>
      <c r="F54" s="65">
        <f>ROUNDUP((32*ENR!$S$15),0)</f>
        <v>51</v>
      </c>
      <c r="G54" s="32">
        <f>ROUND($D54*$E54,-2)</f>
        <v>0</v>
      </c>
      <c r="H54" s="5"/>
    </row>
    <row r="55" spans="1:8">
      <c r="A55" s="536" t="s">
        <v>426</v>
      </c>
      <c r="B55" s="557" t="s">
        <v>101</v>
      </c>
      <c r="C55" s="558"/>
      <c r="D55" s="55">
        <v>0</v>
      </c>
      <c r="E55" s="378">
        <f t="shared" si="6"/>
        <v>76</v>
      </c>
      <c r="F55" s="65">
        <f>ROUNDUP((48*ENR!$S$15),0)</f>
        <v>76</v>
      </c>
      <c r="G55" s="32">
        <f>ROUND($D55*$E55,-2)</f>
        <v>0</v>
      </c>
      <c r="H55" s="5"/>
    </row>
    <row r="56" spans="1:8">
      <c r="A56" s="114" t="s">
        <v>429</v>
      </c>
      <c r="B56" s="116"/>
      <c r="C56" s="116"/>
      <c r="D56" s="117"/>
      <c r="E56" s="118"/>
      <c r="F56" s="118"/>
      <c r="G56" s="119"/>
      <c r="H56" s="5"/>
    </row>
    <row r="57" spans="1:8">
      <c r="A57" s="536" t="s">
        <v>424</v>
      </c>
      <c r="B57" s="557" t="s">
        <v>101</v>
      </c>
      <c r="C57" s="558"/>
      <c r="D57" s="53">
        <v>0</v>
      </c>
      <c r="E57" s="63">
        <f t="shared" ref="E57:E59" si="7">($F57)</f>
        <v>19</v>
      </c>
      <c r="F57" s="65">
        <f>ROUNDUP((12*ENR!$S$15),0)</f>
        <v>19</v>
      </c>
      <c r="G57" s="32">
        <f>ROUND($D57*$E57,-2)</f>
        <v>0</v>
      </c>
      <c r="H57" s="5"/>
    </row>
    <row r="58" spans="1:8">
      <c r="A58" s="536" t="s">
        <v>425</v>
      </c>
      <c r="B58" s="557" t="s">
        <v>101</v>
      </c>
      <c r="C58" s="558"/>
      <c r="D58" s="54">
        <v>0</v>
      </c>
      <c r="E58" s="64">
        <f t="shared" si="7"/>
        <v>34</v>
      </c>
      <c r="F58" s="65">
        <f>ROUNDUP((21*ENR!$S$15),0)</f>
        <v>34</v>
      </c>
      <c r="G58" s="32">
        <f>ROUND($D58*$E58,-2)</f>
        <v>0</v>
      </c>
      <c r="H58" s="5"/>
    </row>
    <row r="59" spans="1:8">
      <c r="A59" s="536" t="s">
        <v>426</v>
      </c>
      <c r="B59" s="557" t="s">
        <v>101</v>
      </c>
      <c r="C59" s="558"/>
      <c r="D59" s="55">
        <v>0</v>
      </c>
      <c r="E59" s="378">
        <f t="shared" si="7"/>
        <v>43</v>
      </c>
      <c r="F59" s="65">
        <f>ROUNDUP((27*ENR!$S$15),0)</f>
        <v>43</v>
      </c>
      <c r="G59" s="32">
        <f>ROUND($D59*$E59,-2)</f>
        <v>0</v>
      </c>
      <c r="H59" s="5"/>
    </row>
    <row r="60" spans="1:8">
      <c r="A60" s="5"/>
      <c r="B60" s="5"/>
      <c r="C60" s="5"/>
      <c r="D60" s="5"/>
      <c r="E60" s="5"/>
      <c r="F60" s="1" t="s">
        <v>36</v>
      </c>
      <c r="G60" s="28">
        <f>ROUND(SUM(G$43:G$46,G$48:G$51,G$53:G$55,G$57:G$59),-3)</f>
        <v>0</v>
      </c>
      <c r="H60" s="5"/>
    </row>
    <row r="61" spans="1:8">
      <c r="A61" s="5" t="s">
        <v>183</v>
      </c>
      <c r="B61" s="5"/>
      <c r="C61" s="5"/>
      <c r="D61" s="5"/>
      <c r="E61" s="5"/>
      <c r="F61" s="1"/>
      <c r="G61" s="222" t="str">
        <f>IF(AND($G$39&gt;0,$G$60&gt;0),"ERROR?","")</f>
        <v/>
      </c>
      <c r="H61" s="132">
        <f>($G$60)</f>
        <v>0</v>
      </c>
    </row>
    <row r="62" spans="1:8" ht="6" customHeight="1" thickBot="1">
      <c r="A62" s="5"/>
      <c r="B62" s="5"/>
      <c r="C62" s="5"/>
      <c r="D62" s="5"/>
      <c r="E62" s="5"/>
      <c r="F62" s="1"/>
      <c r="G62" s="3"/>
      <c r="H62" s="5"/>
    </row>
    <row r="63" spans="1:8" ht="13" thickBot="1">
      <c r="A63" s="129" t="s">
        <v>138</v>
      </c>
      <c r="B63" s="123"/>
      <c r="C63" s="123"/>
      <c r="D63" s="123"/>
      <c r="E63" s="123"/>
      <c r="F63" s="123"/>
      <c r="G63" s="124"/>
      <c r="H63" s="324">
        <f>ROUND(($H$26+$H$39+$H$61),-3)</f>
        <v>0</v>
      </c>
    </row>
    <row r="64" spans="1:8">
      <c r="A64" s="5" t="str">
        <f>$A$3</f>
        <v xml:space="preserve">PROJECT TITLE:  </v>
      </c>
      <c r="B64" s="11" t="str">
        <f>IF($B$3="","",$B$3)</f>
        <v>X</v>
      </c>
      <c r="C64" s="5"/>
      <c r="D64" s="5"/>
      <c r="E64" s="5"/>
      <c r="F64" s="5"/>
      <c r="G64" s="5"/>
      <c r="H64" s="5"/>
    </row>
    <row r="65" spans="1:8">
      <c r="A65" s="1" t="str">
        <f>(($A$63)&amp;" (from page 1)")</f>
        <v>NEW CONSTRUCTION &amp; REMODELING COST SUBTOTAL (from page 1)</v>
      </c>
      <c r="B65" s="5"/>
      <c r="C65" s="5"/>
      <c r="D65" s="11"/>
      <c r="E65" s="11"/>
      <c r="F65" s="11"/>
      <c r="G65" s="12"/>
      <c r="H65" s="32">
        <f>VALUE($H$63)</f>
        <v>0</v>
      </c>
    </row>
    <row r="66" spans="1:8">
      <c r="A66" s="2" t="s">
        <v>79</v>
      </c>
      <c r="B66" s="5"/>
      <c r="C66" s="5"/>
      <c r="D66" s="11"/>
      <c r="E66" s="11"/>
      <c r="F66" s="11"/>
      <c r="G66" s="2"/>
      <c r="H66" s="17"/>
    </row>
    <row r="67" spans="1:8" ht="6" customHeight="1">
      <c r="A67" s="5"/>
      <c r="B67" s="5"/>
      <c r="C67" s="5"/>
      <c r="D67" s="5"/>
      <c r="E67" s="5"/>
      <c r="F67" s="5"/>
      <c r="G67" s="5"/>
      <c r="H67" s="5"/>
    </row>
    <row r="68" spans="1:8">
      <c r="A68" s="13" t="s">
        <v>85</v>
      </c>
      <c r="B68" s="563" t="s">
        <v>86</v>
      </c>
      <c r="C68" s="563"/>
      <c r="D68" s="563"/>
      <c r="E68" s="38" t="s">
        <v>63</v>
      </c>
      <c r="F68" s="38" t="s">
        <v>66</v>
      </c>
      <c r="G68" s="38" t="s">
        <v>64</v>
      </c>
      <c r="H68" s="34" t="s">
        <v>65</v>
      </c>
    </row>
    <row r="69" spans="1:8">
      <c r="A69" s="44" t="s">
        <v>82</v>
      </c>
      <c r="B69" s="564" t="s">
        <v>140</v>
      </c>
      <c r="C69" s="564"/>
      <c r="D69" s="564"/>
      <c r="E69" s="56">
        <v>0</v>
      </c>
      <c r="F69" s="59" t="s">
        <v>34</v>
      </c>
      <c r="G69" s="146">
        <f>(15*ENR!$Y$15)</f>
        <v>19.8000963112143</v>
      </c>
      <c r="H69" s="133">
        <f>ROUND(($E$69*$G$69),-3)</f>
        <v>0</v>
      </c>
    </row>
    <row r="70" spans="1:8">
      <c r="A70" s="39"/>
      <c r="B70" s="40"/>
      <c r="C70" s="40"/>
      <c r="D70" s="40"/>
      <c r="E70" s="41"/>
      <c r="F70" s="42"/>
      <c r="G70" s="43"/>
      <c r="H70" s="28"/>
    </row>
    <row r="71" spans="1:8">
      <c r="A71" s="559" t="s">
        <v>156</v>
      </c>
      <c r="B71" s="560"/>
      <c r="C71" s="560"/>
      <c r="D71" s="560"/>
      <c r="E71" s="560"/>
      <c r="F71" s="560"/>
      <c r="G71" s="561"/>
      <c r="H71" s="60"/>
    </row>
    <row r="72" spans="1:8">
      <c r="A72" s="167"/>
      <c r="B72" s="552"/>
      <c r="C72" s="552"/>
      <c r="D72" s="552"/>
      <c r="E72" s="155"/>
      <c r="F72" s="130"/>
      <c r="G72" s="161"/>
      <c r="H72" s="60">
        <f>ROUND(($E72*$G72),-2)</f>
        <v>0</v>
      </c>
    </row>
    <row r="73" spans="1:8">
      <c r="A73" s="168"/>
      <c r="B73" s="552"/>
      <c r="C73" s="552"/>
      <c r="D73" s="552"/>
      <c r="E73" s="155"/>
      <c r="F73" s="130"/>
      <c r="G73" s="161"/>
      <c r="H73" s="60">
        <f t="shared" ref="H73:H105" si="8">ROUND(($E73*$G73),-2)</f>
        <v>0</v>
      </c>
    </row>
    <row r="74" spans="1:8">
      <c r="A74" s="169"/>
      <c r="B74" s="552"/>
      <c r="C74" s="552"/>
      <c r="D74" s="552"/>
      <c r="E74" s="155"/>
      <c r="F74" s="130"/>
      <c r="G74" s="161"/>
      <c r="H74" s="60">
        <f t="shared" si="8"/>
        <v>0</v>
      </c>
    </row>
    <row r="75" spans="1:8">
      <c r="A75" s="169"/>
      <c r="B75" s="552"/>
      <c r="C75" s="552"/>
      <c r="D75" s="552"/>
      <c r="E75" s="155"/>
      <c r="F75" s="130"/>
      <c r="G75" s="161"/>
      <c r="H75" s="60">
        <f t="shared" si="8"/>
        <v>0</v>
      </c>
    </row>
    <row r="76" spans="1:8">
      <c r="A76" s="170"/>
      <c r="B76" s="554"/>
      <c r="C76" s="555"/>
      <c r="D76" s="556"/>
      <c r="E76" s="156"/>
      <c r="F76" s="120"/>
      <c r="G76" s="162"/>
      <c r="H76" s="60">
        <f t="shared" si="8"/>
        <v>0</v>
      </c>
    </row>
    <row r="77" spans="1:8">
      <c r="A77" s="168"/>
      <c r="B77" s="551"/>
      <c r="C77" s="552"/>
      <c r="D77" s="553"/>
      <c r="E77" s="155"/>
      <c r="F77" s="130"/>
      <c r="G77" s="161"/>
      <c r="H77" s="60">
        <f t="shared" si="8"/>
        <v>0</v>
      </c>
    </row>
    <row r="78" spans="1:8">
      <c r="A78" s="169"/>
      <c r="B78" s="551"/>
      <c r="C78" s="552"/>
      <c r="D78" s="553"/>
      <c r="E78" s="155"/>
      <c r="F78" s="130"/>
      <c r="G78" s="161"/>
      <c r="H78" s="60">
        <f t="shared" si="8"/>
        <v>0</v>
      </c>
    </row>
    <row r="79" spans="1:8">
      <c r="A79" s="168"/>
      <c r="B79" s="551"/>
      <c r="C79" s="552"/>
      <c r="D79" s="553"/>
      <c r="E79" s="155"/>
      <c r="F79" s="130"/>
      <c r="G79" s="161"/>
      <c r="H79" s="60">
        <f t="shared" si="8"/>
        <v>0</v>
      </c>
    </row>
    <row r="80" spans="1:8">
      <c r="A80" s="168"/>
      <c r="B80" s="551"/>
      <c r="C80" s="552"/>
      <c r="D80" s="553"/>
      <c r="E80" s="155"/>
      <c r="F80" s="130"/>
      <c r="G80" s="161"/>
      <c r="H80" s="60">
        <f t="shared" si="8"/>
        <v>0</v>
      </c>
    </row>
    <row r="81" spans="1:8">
      <c r="A81" s="171"/>
      <c r="B81" s="554"/>
      <c r="C81" s="555"/>
      <c r="D81" s="556"/>
      <c r="E81" s="156"/>
      <c r="F81" s="120"/>
      <c r="G81" s="162"/>
      <c r="H81" s="60">
        <f t="shared" si="8"/>
        <v>0</v>
      </c>
    </row>
    <row r="82" spans="1:8">
      <c r="A82" s="169"/>
      <c r="B82" s="551"/>
      <c r="C82" s="552"/>
      <c r="D82" s="553"/>
      <c r="E82" s="155"/>
      <c r="F82" s="130"/>
      <c r="G82" s="161"/>
      <c r="H82" s="60">
        <f t="shared" si="8"/>
        <v>0</v>
      </c>
    </row>
    <row r="83" spans="1:8">
      <c r="A83" s="169"/>
      <c r="B83" s="551"/>
      <c r="C83" s="552"/>
      <c r="D83" s="553"/>
      <c r="E83" s="155"/>
      <c r="F83" s="130"/>
      <c r="G83" s="161"/>
      <c r="H83" s="60">
        <f t="shared" si="8"/>
        <v>0</v>
      </c>
    </row>
    <row r="84" spans="1:8">
      <c r="A84" s="169"/>
      <c r="B84" s="551"/>
      <c r="C84" s="552"/>
      <c r="D84" s="553"/>
      <c r="E84" s="155"/>
      <c r="F84" s="130"/>
      <c r="G84" s="161"/>
      <c r="H84" s="60">
        <f t="shared" si="8"/>
        <v>0</v>
      </c>
    </row>
    <row r="85" spans="1:8">
      <c r="A85" s="169"/>
      <c r="B85" s="551"/>
      <c r="C85" s="552"/>
      <c r="D85" s="553"/>
      <c r="E85" s="155"/>
      <c r="F85" s="130"/>
      <c r="G85" s="161"/>
      <c r="H85" s="60">
        <f t="shared" si="8"/>
        <v>0</v>
      </c>
    </row>
    <row r="86" spans="1:8">
      <c r="A86" s="171"/>
      <c r="B86" s="554"/>
      <c r="C86" s="555"/>
      <c r="D86" s="556"/>
      <c r="E86" s="156"/>
      <c r="F86" s="120"/>
      <c r="G86" s="162"/>
      <c r="H86" s="60">
        <f t="shared" si="8"/>
        <v>0</v>
      </c>
    </row>
    <row r="87" spans="1:8">
      <c r="A87" s="169"/>
      <c r="B87" s="551"/>
      <c r="C87" s="552"/>
      <c r="D87" s="553"/>
      <c r="E87" s="155"/>
      <c r="F87" s="130"/>
      <c r="G87" s="161"/>
      <c r="H87" s="60">
        <f t="shared" si="8"/>
        <v>0</v>
      </c>
    </row>
    <row r="88" spans="1:8">
      <c r="A88" s="169"/>
      <c r="B88" s="551"/>
      <c r="C88" s="552"/>
      <c r="D88" s="553"/>
      <c r="E88" s="155"/>
      <c r="F88" s="130"/>
      <c r="G88" s="161"/>
      <c r="H88" s="60">
        <f t="shared" si="8"/>
        <v>0</v>
      </c>
    </row>
    <row r="89" spans="1:8">
      <c r="A89" s="169"/>
      <c r="B89" s="551"/>
      <c r="C89" s="552"/>
      <c r="D89" s="553"/>
      <c r="E89" s="155"/>
      <c r="F89" s="130"/>
      <c r="G89" s="161"/>
      <c r="H89" s="60">
        <f t="shared" si="8"/>
        <v>0</v>
      </c>
    </row>
    <row r="90" spans="1:8">
      <c r="A90" s="169"/>
      <c r="B90" s="551"/>
      <c r="C90" s="552"/>
      <c r="D90" s="553"/>
      <c r="E90" s="155"/>
      <c r="F90" s="130"/>
      <c r="G90" s="161"/>
      <c r="H90" s="60">
        <f t="shared" si="8"/>
        <v>0</v>
      </c>
    </row>
    <row r="91" spans="1:8">
      <c r="A91" s="171"/>
      <c r="B91" s="554"/>
      <c r="C91" s="555"/>
      <c r="D91" s="556"/>
      <c r="E91" s="156"/>
      <c r="F91" s="120"/>
      <c r="G91" s="162"/>
      <c r="H91" s="60">
        <f t="shared" si="8"/>
        <v>0</v>
      </c>
    </row>
    <row r="92" spans="1:8">
      <c r="A92" s="169"/>
      <c r="B92" s="551"/>
      <c r="C92" s="552"/>
      <c r="D92" s="553"/>
      <c r="E92" s="155"/>
      <c r="F92" s="130"/>
      <c r="G92" s="161"/>
      <c r="H92" s="60">
        <f t="shared" si="8"/>
        <v>0</v>
      </c>
    </row>
    <row r="93" spans="1:8">
      <c r="A93" s="169"/>
      <c r="B93" s="551"/>
      <c r="C93" s="552"/>
      <c r="D93" s="553"/>
      <c r="E93" s="155"/>
      <c r="F93" s="130"/>
      <c r="G93" s="161"/>
      <c r="H93" s="60">
        <f t="shared" si="8"/>
        <v>0</v>
      </c>
    </row>
    <row r="94" spans="1:8">
      <c r="A94" s="169"/>
      <c r="B94" s="551"/>
      <c r="C94" s="552"/>
      <c r="D94" s="553"/>
      <c r="E94" s="155"/>
      <c r="F94" s="130"/>
      <c r="G94" s="161"/>
      <c r="H94" s="60">
        <f t="shared" si="8"/>
        <v>0</v>
      </c>
    </row>
    <row r="95" spans="1:8">
      <c r="A95" s="169"/>
      <c r="B95" s="551"/>
      <c r="C95" s="552"/>
      <c r="D95" s="553"/>
      <c r="E95" s="155"/>
      <c r="F95" s="130"/>
      <c r="G95" s="161"/>
      <c r="H95" s="60">
        <f t="shared" si="8"/>
        <v>0</v>
      </c>
    </row>
    <row r="96" spans="1:8">
      <c r="A96" s="171"/>
      <c r="B96" s="554"/>
      <c r="C96" s="555"/>
      <c r="D96" s="556"/>
      <c r="E96" s="156"/>
      <c r="F96" s="120"/>
      <c r="G96" s="162"/>
      <c r="H96" s="60">
        <f t="shared" si="8"/>
        <v>0</v>
      </c>
    </row>
    <row r="97" spans="1:8">
      <c r="A97" s="169"/>
      <c r="B97" s="551"/>
      <c r="C97" s="552"/>
      <c r="D97" s="553"/>
      <c r="E97" s="155"/>
      <c r="F97" s="130"/>
      <c r="G97" s="161"/>
      <c r="H97" s="60">
        <f t="shared" si="8"/>
        <v>0</v>
      </c>
    </row>
    <row r="98" spans="1:8">
      <c r="A98" s="169"/>
      <c r="B98" s="551"/>
      <c r="C98" s="552"/>
      <c r="D98" s="553"/>
      <c r="E98" s="155"/>
      <c r="F98" s="130"/>
      <c r="G98" s="161"/>
      <c r="H98" s="60">
        <f t="shared" si="8"/>
        <v>0</v>
      </c>
    </row>
    <row r="99" spans="1:8">
      <c r="A99" s="169"/>
      <c r="B99" s="551"/>
      <c r="C99" s="552"/>
      <c r="D99" s="553"/>
      <c r="E99" s="155"/>
      <c r="F99" s="130"/>
      <c r="G99" s="161"/>
      <c r="H99" s="60">
        <f t="shared" si="8"/>
        <v>0</v>
      </c>
    </row>
    <row r="100" spans="1:8">
      <c r="A100" s="169"/>
      <c r="B100" s="551"/>
      <c r="C100" s="552"/>
      <c r="D100" s="553"/>
      <c r="E100" s="155"/>
      <c r="F100" s="130"/>
      <c r="G100" s="161"/>
      <c r="H100" s="60">
        <f t="shared" si="8"/>
        <v>0</v>
      </c>
    </row>
    <row r="101" spans="1:8">
      <c r="A101" s="171"/>
      <c r="B101" s="554"/>
      <c r="C101" s="555"/>
      <c r="D101" s="556"/>
      <c r="E101" s="156"/>
      <c r="F101" s="120"/>
      <c r="G101" s="162"/>
      <c r="H101" s="60">
        <f t="shared" si="8"/>
        <v>0</v>
      </c>
    </row>
    <row r="102" spans="1:8">
      <c r="A102" s="168"/>
      <c r="B102" s="551"/>
      <c r="C102" s="552"/>
      <c r="D102" s="553"/>
      <c r="E102" s="155"/>
      <c r="F102" s="130"/>
      <c r="G102" s="161"/>
      <c r="H102" s="60">
        <f t="shared" si="8"/>
        <v>0</v>
      </c>
    </row>
    <row r="103" spans="1:8">
      <c r="A103" s="168"/>
      <c r="B103" s="551"/>
      <c r="C103" s="552"/>
      <c r="D103" s="553"/>
      <c r="E103" s="155"/>
      <c r="F103" s="130"/>
      <c r="G103" s="161"/>
      <c r="H103" s="60">
        <f t="shared" si="8"/>
        <v>0</v>
      </c>
    </row>
    <row r="104" spans="1:8">
      <c r="A104" s="169"/>
      <c r="B104" s="551"/>
      <c r="C104" s="552"/>
      <c r="D104" s="553"/>
      <c r="E104" s="155"/>
      <c r="F104" s="130"/>
      <c r="G104" s="161"/>
      <c r="H104" s="60">
        <f t="shared" si="8"/>
        <v>0</v>
      </c>
    </row>
    <row r="105" spans="1:8">
      <c r="A105" s="172"/>
      <c r="B105" s="566"/>
      <c r="C105" s="567"/>
      <c r="D105" s="568"/>
      <c r="E105" s="157"/>
      <c r="F105" s="136"/>
      <c r="G105" s="163"/>
      <c r="H105" s="60">
        <f t="shared" si="8"/>
        <v>0</v>
      </c>
    </row>
    <row r="106" spans="1:8">
      <c r="A106" s="565" t="s">
        <v>79</v>
      </c>
      <c r="B106" s="565"/>
      <c r="C106" s="565"/>
      <c r="D106" s="565"/>
      <c r="E106" s="565"/>
      <c r="F106" s="565"/>
      <c r="G106" s="565"/>
      <c r="H106" s="132">
        <f>ROUND(SUM(H$72:H$105),-3)</f>
        <v>0</v>
      </c>
    </row>
    <row r="107" spans="1:8">
      <c r="A107" s="147"/>
      <c r="B107" s="569"/>
      <c r="C107" s="569"/>
      <c r="D107" s="569"/>
      <c r="E107" s="148"/>
      <c r="F107" s="149"/>
      <c r="G107" s="150"/>
      <c r="H107" s="60"/>
    </row>
    <row r="108" spans="1:8">
      <c r="A108" s="559" t="s">
        <v>128</v>
      </c>
      <c r="B108" s="560"/>
      <c r="C108" s="560"/>
      <c r="D108" s="560"/>
      <c r="E108" s="560"/>
      <c r="F108" s="560"/>
      <c r="G108" s="561"/>
      <c r="H108" s="60"/>
    </row>
    <row r="109" spans="1:8">
      <c r="A109" s="167"/>
      <c r="B109" s="552"/>
      <c r="C109" s="552"/>
      <c r="D109" s="552"/>
      <c r="E109" s="158"/>
      <c r="F109" s="137"/>
      <c r="G109" s="164"/>
      <c r="H109" s="60">
        <f t="shared" ref="H109:H116" si="9">ROUND(($E109*$G109),-2)</f>
        <v>0</v>
      </c>
    </row>
    <row r="110" spans="1:8">
      <c r="A110" s="167"/>
      <c r="B110" s="551"/>
      <c r="C110" s="552"/>
      <c r="D110" s="553"/>
      <c r="E110" s="158"/>
      <c r="F110" s="137"/>
      <c r="G110" s="164"/>
      <c r="H110" s="60">
        <f t="shared" si="9"/>
        <v>0</v>
      </c>
    </row>
    <row r="111" spans="1:8">
      <c r="A111" s="167"/>
      <c r="B111" s="551"/>
      <c r="C111" s="552"/>
      <c r="D111" s="553"/>
      <c r="E111" s="158"/>
      <c r="F111" s="137"/>
      <c r="G111" s="164"/>
      <c r="H111" s="60">
        <f t="shared" si="9"/>
        <v>0</v>
      </c>
    </row>
    <row r="112" spans="1:8">
      <c r="A112" s="173"/>
      <c r="B112" s="554"/>
      <c r="C112" s="555"/>
      <c r="D112" s="556"/>
      <c r="E112" s="159"/>
      <c r="F112" s="138"/>
      <c r="G112" s="165"/>
      <c r="H112" s="60">
        <f t="shared" si="9"/>
        <v>0</v>
      </c>
    </row>
    <row r="113" spans="1:8">
      <c r="A113" s="167"/>
      <c r="B113" s="551"/>
      <c r="C113" s="552"/>
      <c r="D113" s="553"/>
      <c r="E113" s="158"/>
      <c r="F113" s="137"/>
      <c r="G113" s="164"/>
      <c r="H113" s="60">
        <f t="shared" si="9"/>
        <v>0</v>
      </c>
    </row>
    <row r="114" spans="1:8">
      <c r="A114" s="167"/>
      <c r="B114" s="552"/>
      <c r="C114" s="552"/>
      <c r="D114" s="552"/>
      <c r="E114" s="158"/>
      <c r="F114" s="137"/>
      <c r="G114" s="164"/>
      <c r="H114" s="60">
        <f t="shared" si="9"/>
        <v>0</v>
      </c>
    </row>
    <row r="115" spans="1:8">
      <c r="A115" s="167"/>
      <c r="B115" s="552"/>
      <c r="C115" s="552"/>
      <c r="D115" s="552"/>
      <c r="E115" s="158"/>
      <c r="F115" s="137"/>
      <c r="G115" s="164"/>
      <c r="H115" s="60">
        <f t="shared" si="9"/>
        <v>0</v>
      </c>
    </row>
    <row r="116" spans="1:8">
      <c r="A116" s="174"/>
      <c r="B116" s="571"/>
      <c r="C116" s="571"/>
      <c r="D116" s="571"/>
      <c r="E116" s="160"/>
      <c r="F116" s="151"/>
      <c r="G116" s="166"/>
      <c r="H116" s="60">
        <f t="shared" si="9"/>
        <v>0</v>
      </c>
    </row>
    <row r="117" spans="1:8">
      <c r="A117" s="572" t="s">
        <v>133</v>
      </c>
      <c r="B117" s="572"/>
      <c r="C117" s="572"/>
      <c r="D117" s="572"/>
      <c r="E117" s="572"/>
      <c r="F117" s="572"/>
      <c r="G117" s="573"/>
      <c r="H117" s="132">
        <f>ROUND(SUM(H$109:H$116),-3)</f>
        <v>0</v>
      </c>
    </row>
    <row r="118" spans="1:8">
      <c r="A118" s="2"/>
      <c r="B118" s="5"/>
      <c r="C118" s="5"/>
      <c r="D118" s="5"/>
      <c r="E118" s="35"/>
      <c r="F118" s="5"/>
      <c r="G118" s="12"/>
      <c r="H118" s="32"/>
    </row>
    <row r="119" spans="1:8">
      <c r="A119" s="2" t="s">
        <v>136</v>
      </c>
      <c r="B119" s="5"/>
      <c r="C119" s="5"/>
      <c r="D119" s="5"/>
      <c r="E119" s="35"/>
      <c r="F119" s="5"/>
      <c r="G119" s="12"/>
      <c r="H119" s="132">
        <f>SUM($H$69,$H$106,$H$117)</f>
        <v>0</v>
      </c>
    </row>
    <row r="120" spans="1:8" ht="13" thickBot="1">
      <c r="A120" s="5"/>
      <c r="B120" s="5"/>
      <c r="C120" s="5"/>
      <c r="D120" s="5"/>
      <c r="E120" s="5"/>
      <c r="F120" s="5"/>
      <c r="G120" s="5"/>
      <c r="H120" s="3"/>
    </row>
    <row r="121" spans="1:8" ht="13" thickBot="1">
      <c r="A121" s="129" t="s">
        <v>137</v>
      </c>
      <c r="B121" s="123"/>
      <c r="C121" s="123"/>
      <c r="D121" s="123"/>
      <c r="E121" s="123"/>
      <c r="F121" s="129"/>
      <c r="G121" s="124"/>
      <c r="H121" s="324">
        <f>ROUND(SUM($H$65,$H$119),-3)</f>
        <v>0</v>
      </c>
    </row>
    <row r="122" spans="1:8">
      <c r="A122" s="2"/>
      <c r="B122" s="11"/>
      <c r="C122" s="11"/>
      <c r="D122" s="11"/>
      <c r="E122" s="11"/>
      <c r="F122" s="2"/>
      <c r="G122" s="7"/>
      <c r="H122" s="31"/>
    </row>
    <row r="123" spans="1:8">
      <c r="A123" s="1" t="s">
        <v>83</v>
      </c>
      <c r="B123" s="5" t="s">
        <v>84</v>
      </c>
      <c r="C123" s="5"/>
      <c r="D123" s="5"/>
      <c r="E123" s="56">
        <v>0</v>
      </c>
      <c r="F123" s="61" t="s">
        <v>145</v>
      </c>
      <c r="G123" s="131">
        <v>0</v>
      </c>
      <c r="H123" s="132">
        <f>ROUND(($E$123*$G$123),-3)</f>
        <v>0</v>
      </c>
    </row>
    <row r="124" spans="1:8">
      <c r="A124" s="2"/>
      <c r="B124" s="11"/>
      <c r="C124" s="11"/>
      <c r="D124" s="11"/>
      <c r="E124" s="11"/>
      <c r="F124" s="2"/>
      <c r="G124" s="7"/>
      <c r="H124" s="31"/>
    </row>
    <row r="125" spans="1:8">
      <c r="A125" s="5" t="str">
        <f>$A$3</f>
        <v xml:space="preserve">PROJECT TITLE:  </v>
      </c>
      <c r="B125" s="11" t="str">
        <f>IF($B$3="","",$B$3)</f>
        <v>X</v>
      </c>
      <c r="C125" s="5"/>
      <c r="D125" s="5"/>
      <c r="E125" s="5"/>
      <c r="F125" s="5"/>
      <c r="G125" s="5"/>
      <c r="H125" s="5"/>
    </row>
    <row r="126" spans="1:8">
      <c r="A126" s="1" t="str">
        <f>(($A$121)&amp;" (from page 2)")</f>
        <v>CONSTRUCTION &amp; REMODELING COST SUBTOTAL (from page 2)</v>
      </c>
      <c r="B126" s="5"/>
      <c r="C126" s="5"/>
      <c r="D126" s="11"/>
      <c r="E126" s="11"/>
      <c r="F126" s="11"/>
      <c r="G126" s="12"/>
      <c r="H126" s="132">
        <f>($H$121)</f>
        <v>0</v>
      </c>
    </row>
    <row r="127" spans="1:8" ht="13" thickBot="1">
      <c r="A127" s="1"/>
      <c r="B127" s="5"/>
      <c r="C127" s="5"/>
      <c r="D127" s="11"/>
      <c r="E127" s="11"/>
      <c r="F127" s="11"/>
      <c r="G127" s="7"/>
      <c r="H127" s="3"/>
    </row>
    <row r="128" spans="1:8" ht="13" thickBot="1">
      <c r="A128" s="121" t="s">
        <v>78</v>
      </c>
      <c r="B128" s="122"/>
      <c r="C128" s="122"/>
      <c r="D128" s="123"/>
      <c r="E128" s="123"/>
      <c r="F128" s="123"/>
      <c r="G128" s="124"/>
      <c r="H128" s="324">
        <f>ROUND(($E$139),-3)</f>
        <v>0</v>
      </c>
    </row>
    <row r="129" spans="1:8">
      <c r="A129" s="92" t="s">
        <v>400</v>
      </c>
      <c r="B129" s="5"/>
      <c r="C129" s="19"/>
      <c r="D129" s="11"/>
      <c r="E129" s="32">
        <f>($H$63)</f>
        <v>0</v>
      </c>
      <c r="F129" s="11"/>
      <c r="G129" s="7"/>
      <c r="H129" s="3"/>
    </row>
    <row r="130" spans="1:8">
      <c r="A130" s="92" t="s">
        <v>401</v>
      </c>
      <c r="B130" s="5"/>
      <c r="C130" s="19"/>
      <c r="D130" s="11"/>
      <c r="E130" s="32">
        <f>($H$69)</f>
        <v>0</v>
      </c>
      <c r="F130" s="11"/>
      <c r="G130" s="7"/>
      <c r="H130" s="3"/>
    </row>
    <row r="131" spans="1:8">
      <c r="A131" s="92" t="s">
        <v>402</v>
      </c>
      <c r="B131" s="5"/>
      <c r="C131" s="19"/>
      <c r="D131" s="11"/>
      <c r="E131" s="32">
        <f>($H$106)</f>
        <v>0</v>
      </c>
      <c r="F131" s="11"/>
      <c r="G131" s="7"/>
      <c r="H131" s="3"/>
    </row>
    <row r="132" spans="1:8">
      <c r="A132" s="92" t="s">
        <v>403</v>
      </c>
      <c r="B132" s="5"/>
      <c r="C132" s="19"/>
      <c r="D132" s="11"/>
      <c r="E132" s="139">
        <f>($H$117)</f>
        <v>0</v>
      </c>
      <c r="F132" s="11"/>
      <c r="G132" s="7"/>
      <c r="H132" s="3"/>
    </row>
    <row r="133" spans="1:8">
      <c r="A133" s="92" t="s">
        <v>404</v>
      </c>
      <c r="B133" s="5"/>
      <c r="C133" s="19"/>
      <c r="D133" s="11"/>
      <c r="E133" s="32">
        <f>($H$121)</f>
        <v>0</v>
      </c>
      <c r="F133" s="11"/>
      <c r="G133" s="7"/>
      <c r="H133" s="3"/>
    </row>
    <row r="134" spans="1:8">
      <c r="A134" s="92" t="s">
        <v>108</v>
      </c>
      <c r="B134" s="5"/>
      <c r="C134" s="75">
        <v>0</v>
      </c>
      <c r="D134" s="32">
        <f>($H$126)</f>
        <v>0</v>
      </c>
      <c r="E134" s="32">
        <f>ROUND(($C$134*$D$134),-2)</f>
        <v>0</v>
      </c>
      <c r="F134" s="11"/>
      <c r="G134" s="7"/>
      <c r="H134" s="3"/>
    </row>
    <row r="135" spans="1:8">
      <c r="A135" s="92" t="s">
        <v>437</v>
      </c>
      <c r="B135" s="5"/>
      <c r="C135" s="538">
        <v>0</v>
      </c>
      <c r="D135" s="32">
        <f>($H$126)</f>
        <v>0</v>
      </c>
      <c r="E135" s="32">
        <f>ROUND(($C$135*$D$135),-2)</f>
        <v>0</v>
      </c>
      <c r="F135" s="11"/>
      <c r="G135" s="7"/>
      <c r="H135" s="3"/>
    </row>
    <row r="136" spans="1:8">
      <c r="A136" s="92" t="s">
        <v>117</v>
      </c>
      <c r="B136" s="5"/>
      <c r="C136" s="75">
        <v>0</v>
      </c>
      <c r="D136" s="32">
        <f>($H$126)</f>
        <v>0</v>
      </c>
      <c r="E136" s="32">
        <f>ROUND(($C$136*$D$136),-2)</f>
        <v>0</v>
      </c>
      <c r="F136" s="11"/>
      <c r="G136" s="7"/>
      <c r="H136" s="3"/>
    </row>
    <row r="137" spans="1:8">
      <c r="A137" s="92" t="s">
        <v>405</v>
      </c>
      <c r="B137" s="5"/>
      <c r="C137" s="19"/>
      <c r="D137" s="11"/>
      <c r="E137" s="139">
        <f>($H$123)</f>
        <v>0</v>
      </c>
      <c r="F137" s="11"/>
      <c r="G137" s="7"/>
      <c r="H137" s="3"/>
    </row>
    <row r="138" spans="1:8">
      <c r="A138" s="92" t="s">
        <v>406</v>
      </c>
      <c r="B138" s="5"/>
      <c r="C138" s="19"/>
      <c r="D138" s="11"/>
      <c r="E138" s="32">
        <f>SUM(E$133:E$137)</f>
        <v>0</v>
      </c>
      <c r="F138" s="11"/>
      <c r="G138" s="7"/>
      <c r="H138" s="3"/>
    </row>
    <row r="139" spans="1:8">
      <c r="A139" s="92" t="s">
        <v>407</v>
      </c>
      <c r="B139" s="5"/>
      <c r="C139" s="83">
        <f>(ENR)</f>
        <v>1.763652436804036</v>
      </c>
      <c r="D139" s="32">
        <f>($E$138)</f>
        <v>0</v>
      </c>
      <c r="E139" s="32">
        <f>ROUND(($D$139*$C$139),-2)</f>
        <v>0</v>
      </c>
      <c r="F139" s="11"/>
      <c r="G139" s="7"/>
      <c r="H139" s="3"/>
    </row>
    <row r="140" spans="1:8" ht="13" thickBot="1">
      <c r="A140" s="1"/>
      <c r="B140" s="5"/>
      <c r="C140" s="5"/>
      <c r="D140" s="11"/>
      <c r="E140" s="11"/>
      <c r="F140" s="11"/>
      <c r="G140" s="7"/>
      <c r="H140" s="3"/>
    </row>
    <row r="141" spans="1:8" ht="13" thickBot="1">
      <c r="A141" s="121" t="s">
        <v>75</v>
      </c>
      <c r="B141" s="122"/>
      <c r="C141" s="122"/>
      <c r="D141" s="119"/>
      <c r="E141" s="119"/>
      <c r="F141" s="125"/>
      <c r="G141" s="175" t="str">
        <f>IF($H$141=0,"",($H$141/TOTCONST))</f>
        <v/>
      </c>
      <c r="H141" s="324">
        <f>ROUND(SUM($E$142:$E$144),-3)</f>
        <v>0</v>
      </c>
    </row>
    <row r="142" spans="1:8">
      <c r="A142" s="92" t="s">
        <v>408</v>
      </c>
      <c r="B142" s="5"/>
      <c r="C142" s="75">
        <v>0</v>
      </c>
      <c r="D142" s="32">
        <f>($H$128)</f>
        <v>0</v>
      </c>
      <c r="E142" s="32">
        <f>IF($E$143&gt;0,0,((ROUND(($C142*$D$142),-2))))</f>
        <v>0</v>
      </c>
      <c r="F142" s="1"/>
      <c r="G142" s="5"/>
      <c r="H142" s="3"/>
    </row>
    <row r="143" spans="1:8">
      <c r="A143" s="92" t="s">
        <v>409</v>
      </c>
      <c r="B143" s="5"/>
      <c r="C143" s="66" t="str">
        <f>IF($E$143=0,"",($E$143/TOTCONST))</f>
        <v/>
      </c>
      <c r="D143" s="3"/>
      <c r="E143" s="57">
        <v>0</v>
      </c>
      <c r="F143" s="1"/>
      <c r="G143" s="5"/>
      <c r="H143" s="3"/>
    </row>
    <row r="144" spans="1:8">
      <c r="A144" s="92" t="s">
        <v>410</v>
      </c>
      <c r="B144" s="5"/>
      <c r="C144" s="75">
        <v>0</v>
      </c>
      <c r="D144" s="32">
        <f>($E$142+$E$143)</f>
        <v>0</v>
      </c>
      <c r="E144" s="32">
        <f>ROUND($C144*D$144,-2)</f>
        <v>0</v>
      </c>
      <c r="F144" s="8"/>
      <c r="G144" s="5"/>
      <c r="H144" s="3"/>
    </row>
    <row r="145" spans="1:8" ht="13" thickBot="1">
      <c r="A145" s="1"/>
      <c r="B145" s="5"/>
      <c r="C145" s="19"/>
      <c r="D145" s="3"/>
      <c r="E145" s="9"/>
      <c r="F145" s="5"/>
      <c r="G145" s="5"/>
      <c r="H145" s="3"/>
    </row>
    <row r="146" spans="1:8" ht="13" thickBot="1">
      <c r="A146" s="121" t="s">
        <v>76</v>
      </c>
      <c r="B146" s="122"/>
      <c r="C146" s="126"/>
      <c r="D146" s="119"/>
      <c r="E146" s="127"/>
      <c r="F146" s="122"/>
      <c r="G146" s="175" t="str">
        <f>IF($H$146=0,"",($H$146/TOTCONST))</f>
        <v/>
      </c>
      <c r="H146" s="324">
        <f>ROUND(SUM($E$147:$E$157),-3)</f>
        <v>0</v>
      </c>
    </row>
    <row r="147" spans="1:8">
      <c r="A147" s="92" t="s">
        <v>411</v>
      </c>
      <c r="B147" s="5"/>
      <c r="C147" s="75">
        <v>0</v>
      </c>
      <c r="D147" s="32">
        <f>($H$128)</f>
        <v>0</v>
      </c>
      <c r="E147" s="32">
        <f>ROUND(($C147*$D$147),-2)</f>
        <v>0</v>
      </c>
      <c r="F147" s="1"/>
      <c r="G147" s="5"/>
      <c r="H147" s="3"/>
    </row>
    <row r="148" spans="1:8">
      <c r="A148" s="92" t="s">
        <v>433</v>
      </c>
      <c r="B148" s="5"/>
      <c r="C148" s="19"/>
      <c r="D148" s="3"/>
      <c r="E148" s="57">
        <v>0</v>
      </c>
      <c r="F148" s="5"/>
      <c r="G148" s="5"/>
      <c r="H148" s="3"/>
    </row>
    <row r="149" spans="1:8">
      <c r="A149" s="92" t="s">
        <v>412</v>
      </c>
      <c r="B149" s="5"/>
      <c r="C149" s="88">
        <v>0</v>
      </c>
      <c r="D149" s="32">
        <f>($H$128)</f>
        <v>0</v>
      </c>
      <c r="E149" s="32">
        <f>ROUND(($C$149*$D$149),-2)</f>
        <v>0</v>
      </c>
      <c r="F149" s="5"/>
      <c r="G149" s="5"/>
      <c r="H149" s="3"/>
    </row>
    <row r="150" spans="1:8">
      <c r="A150" s="92" t="s">
        <v>413</v>
      </c>
      <c r="B150" s="5"/>
      <c r="C150" s="90"/>
      <c r="D150" s="3"/>
      <c r="E150" s="89">
        <v>0</v>
      </c>
      <c r="F150" s="5"/>
      <c r="G150" s="5"/>
      <c r="H150" s="3"/>
    </row>
    <row r="151" spans="1:8">
      <c r="A151" s="92" t="s">
        <v>414</v>
      </c>
      <c r="B151" s="5"/>
      <c r="C151" s="19"/>
      <c r="D151" s="3"/>
      <c r="E151" s="87">
        <v>0</v>
      </c>
      <c r="F151" s="5"/>
      <c r="G151" s="5"/>
      <c r="H151" s="3"/>
    </row>
    <row r="152" spans="1:8">
      <c r="A152" s="92" t="s">
        <v>415</v>
      </c>
      <c r="B152" s="5"/>
      <c r="C152" s="19"/>
      <c r="D152" s="3"/>
      <c r="E152" s="87">
        <v>0</v>
      </c>
      <c r="F152" s="5"/>
      <c r="G152" s="5"/>
      <c r="H152" s="3"/>
    </row>
    <row r="153" spans="1:8">
      <c r="A153" s="570" t="s">
        <v>416</v>
      </c>
      <c r="B153" s="570"/>
      <c r="C153" s="570"/>
      <c r="D153" s="3"/>
      <c r="E153" s="87">
        <v>0</v>
      </c>
      <c r="F153" s="5"/>
      <c r="G153" s="5"/>
      <c r="H153" s="3"/>
    </row>
    <row r="154" spans="1:8">
      <c r="A154" s="570" t="s">
        <v>416</v>
      </c>
      <c r="B154" s="570"/>
      <c r="C154" s="570"/>
      <c r="D154" s="3"/>
      <c r="E154" s="87">
        <v>0</v>
      </c>
      <c r="F154" s="5"/>
      <c r="G154" s="5"/>
      <c r="H154" s="3"/>
    </row>
    <row r="155" spans="1:8">
      <c r="A155" s="570" t="s">
        <v>416</v>
      </c>
      <c r="B155" s="570"/>
      <c r="C155" s="570"/>
      <c r="D155" s="3"/>
      <c r="E155" s="87">
        <v>0</v>
      </c>
      <c r="F155" s="5"/>
      <c r="G155" s="5"/>
      <c r="H155" s="3"/>
    </row>
    <row r="156" spans="1:8">
      <c r="A156" s="570" t="s">
        <v>416</v>
      </c>
      <c r="B156" s="570"/>
      <c r="C156" s="570"/>
      <c r="D156" s="3"/>
      <c r="E156" s="91">
        <v>0</v>
      </c>
      <c r="F156" s="5"/>
      <c r="G156" s="5"/>
      <c r="H156" s="3"/>
    </row>
    <row r="157" spans="1:8">
      <c r="A157" s="92" t="s">
        <v>417</v>
      </c>
      <c r="B157" s="5"/>
      <c r="C157" s="88">
        <v>0</v>
      </c>
      <c r="D157" s="32">
        <f>($G$158)</f>
        <v>0</v>
      </c>
      <c r="E157" s="32">
        <f>ROUND(($C$157*$D$157),-2)</f>
        <v>0</v>
      </c>
      <c r="F157" s="5"/>
      <c r="G157" s="5"/>
      <c r="H157" s="3"/>
    </row>
    <row r="158" spans="1:8">
      <c r="A158" s="535" t="s">
        <v>129</v>
      </c>
      <c r="B158" s="226"/>
      <c r="C158" s="227"/>
      <c r="D158" s="228"/>
      <c r="E158" s="32"/>
      <c r="F158" s="134" t="s">
        <v>134</v>
      </c>
      <c r="G158" s="135">
        <f>ROUND(SUM($E$159:$E$163),-2)</f>
        <v>0</v>
      </c>
      <c r="H158" s="3"/>
    </row>
    <row r="159" spans="1:8">
      <c r="A159" s="92" t="s">
        <v>418</v>
      </c>
      <c r="B159" s="92"/>
      <c r="C159" s="92"/>
      <c r="D159" s="3"/>
      <c r="E159" s="89">
        <v>0</v>
      </c>
      <c r="F159" s="5"/>
      <c r="G159" s="5"/>
      <c r="H159" s="3"/>
    </row>
    <row r="160" spans="1:8">
      <c r="A160" s="92" t="s">
        <v>419</v>
      </c>
      <c r="B160" s="92"/>
      <c r="C160" s="92"/>
      <c r="D160" s="3"/>
      <c r="E160" s="87">
        <v>0</v>
      </c>
      <c r="F160" s="5"/>
      <c r="G160" s="5"/>
      <c r="H160" s="3"/>
    </row>
    <row r="161" spans="1:8">
      <c r="A161" s="570" t="s">
        <v>420</v>
      </c>
      <c r="B161" s="570"/>
      <c r="C161" s="570"/>
      <c r="D161" s="3"/>
      <c r="E161" s="87">
        <v>0</v>
      </c>
      <c r="F161" s="5"/>
      <c r="G161" s="5"/>
      <c r="H161" s="3"/>
    </row>
    <row r="162" spans="1:8">
      <c r="A162" s="570" t="s">
        <v>420</v>
      </c>
      <c r="B162" s="570"/>
      <c r="C162" s="570"/>
      <c r="D162" s="3"/>
      <c r="E162" s="87">
        <v>0</v>
      </c>
      <c r="F162" s="5"/>
      <c r="G162" s="5"/>
      <c r="H162" s="3"/>
    </row>
    <row r="163" spans="1:8">
      <c r="A163" s="570" t="s">
        <v>420</v>
      </c>
      <c r="B163" s="570"/>
      <c r="C163" s="570"/>
      <c r="D163" s="3"/>
      <c r="E163" s="91">
        <v>0</v>
      </c>
      <c r="F163" s="5"/>
      <c r="G163" s="5"/>
      <c r="H163" s="3"/>
    </row>
    <row r="164" spans="1:8" ht="13" thickBot="1">
      <c r="A164" s="18"/>
      <c r="B164" s="5"/>
      <c r="C164" s="19"/>
      <c r="D164" s="3"/>
      <c r="E164" s="5"/>
      <c r="F164" s="5"/>
      <c r="G164" s="5"/>
      <c r="H164" s="3"/>
    </row>
    <row r="165" spans="1:8" ht="13" thickBot="1">
      <c r="A165" s="121" t="s">
        <v>77</v>
      </c>
      <c r="B165" s="122"/>
      <c r="C165" s="213">
        <v>0</v>
      </c>
      <c r="D165" s="109">
        <f>($H$128)</f>
        <v>0</v>
      </c>
      <c r="E165" s="109">
        <f>ROUND($C165*$D165,-2)</f>
        <v>0</v>
      </c>
      <c r="F165" s="125"/>
      <c r="G165" s="122"/>
      <c r="H165" s="324">
        <f>ROUND(VALUE($E$165),-3)</f>
        <v>0</v>
      </c>
    </row>
    <row r="166" spans="1:8" ht="13" thickBot="1">
      <c r="A166" s="18"/>
      <c r="B166" s="5"/>
      <c r="C166" s="19"/>
      <c r="D166" s="3"/>
      <c r="E166" s="5"/>
      <c r="F166" s="5"/>
      <c r="G166" s="5"/>
      <c r="H166" s="3"/>
    </row>
    <row r="167" spans="1:8" ht="13" thickBot="1">
      <c r="A167" s="121" t="s">
        <v>104</v>
      </c>
      <c r="B167" s="122"/>
      <c r="C167" s="75">
        <v>0</v>
      </c>
      <c r="D167" s="109">
        <f>SUM($H$128+$H$165)</f>
        <v>0</v>
      </c>
      <c r="E167" s="109">
        <f>ROUND($C167*$D167,-2)</f>
        <v>0</v>
      </c>
      <c r="F167" s="125"/>
      <c r="G167" s="122"/>
      <c r="H167" s="324">
        <f>ROUND(VALUE($E$167),-3)</f>
        <v>0</v>
      </c>
    </row>
    <row r="168" spans="1:8" ht="13" thickBot="1">
      <c r="A168" s="5"/>
      <c r="B168" s="5"/>
      <c r="C168" s="21"/>
      <c r="D168" s="3"/>
      <c r="E168" s="3"/>
      <c r="F168" s="8"/>
      <c r="G168" s="5"/>
      <c r="H168" s="3"/>
    </row>
    <row r="169" spans="1:8" ht="13" thickBot="1">
      <c r="A169" s="121" t="s">
        <v>126</v>
      </c>
      <c r="B169" s="122"/>
      <c r="C169" s="128"/>
      <c r="D169" s="119"/>
      <c r="E169" s="119"/>
      <c r="F169" s="125"/>
      <c r="G169" s="154" t="str">
        <f>IF($H$169=0,"",($H$169/TOTCONST))</f>
        <v/>
      </c>
      <c r="H169" s="324">
        <f>ROUND(SUM($E$170:$E$177),-3)</f>
        <v>0</v>
      </c>
    </row>
    <row r="170" spans="1:8">
      <c r="A170" s="92" t="s">
        <v>421</v>
      </c>
      <c r="B170" s="5"/>
      <c r="C170" s="21"/>
      <c r="D170" s="3"/>
      <c r="E170" s="32">
        <f>ROUND(SUM($E$159:$E$163),-2)</f>
        <v>0</v>
      </c>
      <c r="F170" s="1"/>
      <c r="G170" s="5"/>
      <c r="H170" s="58"/>
    </row>
    <row r="171" spans="1:8">
      <c r="A171" s="535" t="s">
        <v>130</v>
      </c>
      <c r="B171" s="226"/>
      <c r="C171" s="229"/>
      <c r="D171" s="230"/>
      <c r="E171" s="3"/>
      <c r="F171" s="134" t="s">
        <v>135</v>
      </c>
      <c r="G171" s="135">
        <f>ROUND(SUM($E$172:$E$177),-2)</f>
        <v>0</v>
      </c>
      <c r="H171" s="58"/>
    </row>
    <row r="172" spans="1:8">
      <c r="A172" s="92" t="s">
        <v>436</v>
      </c>
      <c r="B172" s="5"/>
      <c r="C172" s="75">
        <v>0</v>
      </c>
      <c r="D172" s="32">
        <f>($H$128)</f>
        <v>0</v>
      </c>
      <c r="E172" s="32">
        <f>ROUND($C172*$D172,-2)</f>
        <v>0</v>
      </c>
      <c r="F172" s="22"/>
      <c r="G172" s="5"/>
      <c r="H172" s="3"/>
    </row>
    <row r="173" spans="1:8">
      <c r="A173" s="92" t="s">
        <v>418</v>
      </c>
      <c r="B173" s="5"/>
      <c r="C173" s="5"/>
      <c r="D173" s="3"/>
      <c r="E173" s="89">
        <v>0</v>
      </c>
      <c r="F173" s="22"/>
      <c r="G173" s="5"/>
      <c r="H173" s="3"/>
    </row>
    <row r="174" spans="1:8">
      <c r="A174" s="92" t="s">
        <v>419</v>
      </c>
      <c r="B174" s="5"/>
      <c r="C174" s="5"/>
      <c r="D174" s="3"/>
      <c r="E174" s="87">
        <v>0</v>
      </c>
      <c r="F174" s="22"/>
      <c r="G174" s="5"/>
      <c r="H174" s="3"/>
    </row>
    <row r="175" spans="1:8">
      <c r="A175" s="570" t="s">
        <v>422</v>
      </c>
      <c r="B175" s="570"/>
      <c r="C175" s="570"/>
      <c r="D175" s="3"/>
      <c r="E175" s="87">
        <v>0</v>
      </c>
      <c r="F175" s="22"/>
      <c r="G175" s="5"/>
      <c r="H175" s="3"/>
    </row>
    <row r="176" spans="1:8">
      <c r="A176" s="570" t="s">
        <v>422</v>
      </c>
      <c r="B176" s="570"/>
      <c r="C176" s="570"/>
      <c r="D176" s="3"/>
      <c r="E176" s="87">
        <v>0</v>
      </c>
      <c r="F176" s="22"/>
      <c r="G176" s="5"/>
      <c r="H176" s="3"/>
    </row>
    <row r="177" spans="1:8">
      <c r="A177" s="570" t="s">
        <v>422</v>
      </c>
      <c r="B177" s="570"/>
      <c r="C177" s="570"/>
      <c r="D177" s="3"/>
      <c r="E177" s="91">
        <v>0</v>
      </c>
      <c r="F177" s="22"/>
      <c r="G177" s="5"/>
      <c r="H177" s="3"/>
    </row>
    <row r="178" spans="1:8" ht="13" thickBot="1">
      <c r="A178" s="5"/>
      <c r="B178" s="5"/>
      <c r="C178" s="5"/>
      <c r="D178" s="5"/>
      <c r="E178" s="5"/>
      <c r="F178" s="5"/>
      <c r="G178" s="5"/>
      <c r="H178" s="3"/>
    </row>
    <row r="179" spans="1:8" ht="13" thickBot="1">
      <c r="A179" s="129" t="s">
        <v>46</v>
      </c>
      <c r="B179" s="123"/>
      <c r="C179" s="123"/>
      <c r="D179" s="123"/>
      <c r="E179" s="123"/>
      <c r="F179" s="129"/>
      <c r="G179" s="124"/>
      <c r="H179" s="324">
        <f>ROUND(SUM($H$128,$H$141,$H$146,$H$165,$H$167,$H$169),-3)</f>
        <v>0</v>
      </c>
    </row>
    <row r="180" spans="1:8" ht="5.75" customHeight="1">
      <c r="A180" s="11"/>
      <c r="B180" s="11"/>
      <c r="C180" s="11"/>
      <c r="D180" s="11"/>
      <c r="E180" s="11"/>
      <c r="F180" s="11"/>
      <c r="G180" s="11"/>
      <c r="H180" s="5"/>
    </row>
    <row r="181" spans="1:8">
      <c r="A181" s="8"/>
      <c r="B181" s="5"/>
      <c r="C181" s="32">
        <f>IF(ISERR(ROUND($H$126/($B$9+$B$13),0)),0,ROUND($H$126/($B$9+$B$13),0))</f>
        <v>0</v>
      </c>
      <c r="D181" s="23" t="s">
        <v>56</v>
      </c>
      <c r="E181" s="5"/>
      <c r="F181" s="5"/>
      <c r="G181" s="5"/>
      <c r="H181" s="5"/>
    </row>
    <row r="182" spans="1:8">
      <c r="A182" s="8"/>
      <c r="B182" s="5"/>
      <c r="C182" s="32">
        <f>IF(ISERR(ROUND($H$126/($B$10+$B$13),0)),0,ROUND($H$126/($B$10+$B$13),0))</f>
        <v>0</v>
      </c>
      <c r="D182" s="23" t="s">
        <v>57</v>
      </c>
      <c r="E182" s="5"/>
      <c r="F182" s="5"/>
      <c r="G182" s="5"/>
      <c r="H182" s="5"/>
    </row>
    <row r="183" spans="1:8">
      <c r="A183" s="8"/>
      <c r="B183" s="5"/>
      <c r="C183" s="32">
        <f>IF(ISERR(ROUND($H$179/($B$9+$B$13),0)),0,ROUND($H$179/($B$9+$B$13),0))</f>
        <v>0</v>
      </c>
      <c r="D183" s="23" t="s">
        <v>55</v>
      </c>
      <c r="E183" s="5"/>
      <c r="F183" s="5"/>
      <c r="G183" s="5"/>
      <c r="H183" s="5"/>
    </row>
    <row r="184" spans="1:8">
      <c r="A184" s="5"/>
      <c r="B184" s="5"/>
      <c r="C184" s="32">
        <f>IF(ISERR(ROUND($H$179/($B$10+$B$13),0)),0,ROUND($H$179/($B$10+$B$13),0))</f>
        <v>0</v>
      </c>
      <c r="D184" s="23" t="s">
        <v>54</v>
      </c>
      <c r="E184" s="5"/>
      <c r="F184" s="5"/>
      <c r="G184" s="5"/>
      <c r="H184" s="5"/>
    </row>
    <row r="185" spans="1:8" ht="5.75" customHeight="1">
      <c r="A185" s="5"/>
      <c r="B185" s="5"/>
      <c r="C185" s="32"/>
      <c r="D185" s="23"/>
      <c r="E185" s="5"/>
      <c r="F185" s="5"/>
      <c r="G185" s="5"/>
      <c r="H185" s="5"/>
    </row>
    <row r="186" spans="1:8">
      <c r="A186" s="129" t="s">
        <v>47</v>
      </c>
      <c r="B186" s="122"/>
      <c r="C186" s="122"/>
      <c r="D186" s="122"/>
      <c r="E186" s="122"/>
      <c r="F186" s="122"/>
      <c r="G186" s="122"/>
      <c r="H186" s="122"/>
    </row>
    <row r="187" spans="1:8">
      <c r="A187" s="205" t="s">
        <v>101</v>
      </c>
      <c r="B187" s="206"/>
      <c r="C187" s="206"/>
      <c r="D187" s="206"/>
      <c r="E187" s="206"/>
      <c r="F187" s="206"/>
      <c r="G187" s="206"/>
      <c r="H187" s="5"/>
    </row>
    <row r="188" spans="1:8">
      <c r="A188" s="205" t="s">
        <v>101</v>
      </c>
      <c r="B188" s="206"/>
      <c r="C188" s="206"/>
      <c r="D188" s="206"/>
      <c r="E188" s="206"/>
      <c r="F188" s="206"/>
      <c r="G188" s="206"/>
      <c r="H188" s="5"/>
    </row>
    <row r="189" spans="1:8">
      <c r="A189" s="205" t="s">
        <v>101</v>
      </c>
      <c r="B189" s="206"/>
      <c r="C189" s="206"/>
      <c r="D189" s="206"/>
      <c r="E189" s="206"/>
      <c r="F189" s="206"/>
      <c r="G189" s="206"/>
      <c r="H189" s="5"/>
    </row>
    <row r="190" spans="1:8">
      <c r="A190" s="205" t="s">
        <v>101</v>
      </c>
      <c r="B190" s="206"/>
      <c r="C190" s="206"/>
      <c r="D190" s="206"/>
      <c r="E190" s="206"/>
      <c r="F190" s="206"/>
      <c r="G190" s="206"/>
      <c r="H190" s="5"/>
    </row>
    <row r="191" spans="1:8">
      <c r="A191" s="205" t="s">
        <v>101</v>
      </c>
      <c r="B191" s="206"/>
      <c r="C191" s="206"/>
      <c r="D191" s="206"/>
      <c r="E191" s="206"/>
      <c r="F191" s="206"/>
      <c r="G191" s="206"/>
      <c r="H191" s="5"/>
    </row>
  </sheetData>
  <sheetProtection algorithmName="SHA-512" hashValue="Kkl/eMWBV8ZJ/nxVch7ZNPQaDVGqaeE9QownCwpFU5toyeCUaIjsX+TWF4VJgZLYhO1/zbVD3OBTf+DG7JrBrA==" saltValue="UzuJy0s/jPKp5poRX4l8Vg==" spinCount="100000" sheet="1" selectLockedCells="1"/>
  <mergeCells count="76">
    <mergeCell ref="A163:C163"/>
    <mergeCell ref="A177:C177"/>
    <mergeCell ref="A176:C176"/>
    <mergeCell ref="B114:D114"/>
    <mergeCell ref="A156:C156"/>
    <mergeCell ref="A175:C175"/>
    <mergeCell ref="A161:C161"/>
    <mergeCell ref="A162:C162"/>
    <mergeCell ref="A154:C154"/>
    <mergeCell ref="A155:C155"/>
    <mergeCell ref="B115:D115"/>
    <mergeCell ref="B116:D116"/>
    <mergeCell ref="A117:G117"/>
    <mergeCell ref="A153:C153"/>
    <mergeCell ref="B113:D113"/>
    <mergeCell ref="B107:D107"/>
    <mergeCell ref="A108:G108"/>
    <mergeCell ref="B110:D110"/>
    <mergeCell ref="B111:D111"/>
    <mergeCell ref="B112:D112"/>
    <mergeCell ref="B101:D101"/>
    <mergeCell ref="A106:G106"/>
    <mergeCell ref="B102:D102"/>
    <mergeCell ref="B109:D109"/>
    <mergeCell ref="B103:D103"/>
    <mergeCell ref="B104:D104"/>
    <mergeCell ref="B105:D105"/>
    <mergeCell ref="B95:D95"/>
    <mergeCell ref="B83:D83"/>
    <mergeCell ref="B84:D84"/>
    <mergeCell ref="B85:D85"/>
    <mergeCell ref="B89:D89"/>
    <mergeCell ref="B90:D90"/>
    <mergeCell ref="B3:E3"/>
    <mergeCell ref="B4:E4"/>
    <mergeCell ref="B6:E6"/>
    <mergeCell ref="B68:D68"/>
    <mergeCell ref="B69:D69"/>
    <mergeCell ref="B43:C43"/>
    <mergeCell ref="B44:C44"/>
    <mergeCell ref="B45:C45"/>
    <mergeCell ref="B46:C46"/>
    <mergeCell ref="B48:C48"/>
    <mergeCell ref="B49:C49"/>
    <mergeCell ref="B50:C50"/>
    <mergeCell ref="B51:C51"/>
    <mergeCell ref="B53:C53"/>
    <mergeCell ref="B54:C54"/>
    <mergeCell ref="B55:C55"/>
    <mergeCell ref="B57:C57"/>
    <mergeCell ref="B58:C58"/>
    <mergeCell ref="B59:C59"/>
    <mergeCell ref="B77:D77"/>
    <mergeCell ref="B78:D78"/>
    <mergeCell ref="B72:D72"/>
    <mergeCell ref="B73:D73"/>
    <mergeCell ref="B74:D74"/>
    <mergeCell ref="B75:D75"/>
    <mergeCell ref="B76:D76"/>
    <mergeCell ref="A71:G71"/>
    <mergeCell ref="B79:D79"/>
    <mergeCell ref="B80:D80"/>
    <mergeCell ref="B100:D100"/>
    <mergeCell ref="B86:D86"/>
    <mergeCell ref="B88:D88"/>
    <mergeCell ref="B97:D97"/>
    <mergeCell ref="B98:D98"/>
    <mergeCell ref="B96:D96"/>
    <mergeCell ref="B87:D87"/>
    <mergeCell ref="B81:D81"/>
    <mergeCell ref="B82:D82"/>
    <mergeCell ref="B99:D99"/>
    <mergeCell ref="B91:D91"/>
    <mergeCell ref="B92:D92"/>
    <mergeCell ref="B93:D93"/>
    <mergeCell ref="B94:D94"/>
  </mergeCells>
  <phoneticPr fontId="5" type="noConversion"/>
  <conditionalFormatting sqref="H12">
    <cfRule type="cellIs" dxfId="184" priority="196" operator="lessThan">
      <formula>$H$11</formula>
    </cfRule>
    <cfRule type="cellIs" dxfId="183" priority="197" operator="greaterThan">
      <formula>$H$11</formula>
    </cfRule>
    <cfRule type="cellIs" dxfId="182" priority="198" operator="equal">
      <formula>$H$11</formula>
    </cfRule>
  </conditionalFormatting>
  <conditionalFormatting sqref="H61">
    <cfRule type="expression" dxfId="181" priority="117">
      <formula>($G$61="ERROR?")</formula>
    </cfRule>
  </conditionalFormatting>
  <conditionalFormatting sqref="A18:C18 E18 A21:C21 E21 A24:C24 E24 A30:C30 A34:C34 A38:C38 E30 E34 E38 A76:G76 A81:G81 A86:G86 A91:G91 A96:G96 A101:G101 A112:G112 A116:G116">
    <cfRule type="expression" dxfId="180" priority="94">
      <formula>$B$5="SP"</formula>
    </cfRule>
    <cfRule type="expression" dxfId="179" priority="95">
      <formula>$B$5="P&amp;D"</formula>
    </cfRule>
    <cfRule type="expression" dxfId="178" priority="97">
      <formula>$B$5="MP"</formula>
    </cfRule>
    <cfRule type="expression" dxfId="177" priority="98">
      <formula>$B$5="MFR"</formula>
    </cfRule>
    <cfRule type="expression" dxfId="176" priority="99">
      <formula>$B$5="IS"</formula>
    </cfRule>
    <cfRule type="expression" dxfId="175" priority="100">
      <formula>$B$5="AA"</formula>
    </cfRule>
  </conditionalFormatting>
  <conditionalFormatting sqref="A1:H1">
    <cfRule type="expression" dxfId="174" priority="88">
      <formula>$B$5="SP"</formula>
    </cfRule>
    <cfRule type="expression" dxfId="173" priority="89">
      <formula>$B$5="P&amp;D"</formula>
    </cfRule>
    <cfRule type="expression" dxfId="172" priority="90">
      <formula>$B$5="MP"</formula>
    </cfRule>
    <cfRule type="expression" dxfId="171" priority="91">
      <formula>$B$5="MFR"</formula>
    </cfRule>
    <cfRule type="expression" dxfId="170" priority="92">
      <formula>$B$5="IS"</formula>
    </cfRule>
    <cfRule type="expression" dxfId="169" priority="93">
      <formula>$B$5="AA"</formula>
    </cfRule>
  </conditionalFormatting>
  <conditionalFormatting sqref="D18 D21 D24 F18:G18 F21:G21 F24:G24 D30 D34 D38 F30:G30 F34:G34 F38:G38">
    <cfRule type="expression" dxfId="168" priority="82">
      <formula>$B$5="SP"</formula>
    </cfRule>
    <cfRule type="expression" dxfId="167" priority="83">
      <formula>$B$5="P&amp;D"</formula>
    </cfRule>
    <cfRule type="expression" dxfId="166" priority="84">
      <formula>$B$5="MP"</formula>
    </cfRule>
    <cfRule type="expression" dxfId="165" priority="85">
      <formula>$B$5="MFR"</formula>
    </cfRule>
    <cfRule type="expression" dxfId="164" priority="86">
      <formula>$B$5="IS"</formula>
    </cfRule>
    <cfRule type="expression" dxfId="163" priority="87">
      <formula>$B$5="AA"</formula>
    </cfRule>
  </conditionalFormatting>
  <conditionalFormatting sqref="A42:G42 A47:G47 A52:G52 A56:G56 A63:G63 A71:G71 A108:G108 A121:G121 A128:G128 A141:G141 A146:G146 A165:B165 A167:B167 A169:G169 A179:G179 A186:H186">
    <cfRule type="expression" dxfId="162" priority="76">
      <formula>$B$5="SP"</formula>
    </cfRule>
    <cfRule type="expression" dxfId="161" priority="77">
      <formula>$B$5="P&amp;D"</formula>
    </cfRule>
    <cfRule type="expression" dxfId="160" priority="78">
      <formula>$B$5="MP"</formula>
    </cfRule>
    <cfRule type="expression" dxfId="159" priority="79">
      <formula>$B$5="MFR"</formula>
    </cfRule>
    <cfRule type="expression" dxfId="158" priority="80">
      <formula>$B$5="IS"</formula>
    </cfRule>
    <cfRule type="expression" dxfId="157" priority="81">
      <formula>$B$5="AA"</formula>
    </cfRule>
  </conditionalFormatting>
  <conditionalFormatting sqref="D165:G165 D167:G167">
    <cfRule type="expression" dxfId="156" priority="70">
      <formula>$B$5="SP"</formula>
    </cfRule>
    <cfRule type="expression" dxfId="155" priority="71">
      <formula>$B$5="P&amp;D"</formula>
    </cfRule>
    <cfRule type="expression" dxfId="154" priority="72">
      <formula>$B$5="MP"</formula>
    </cfRule>
    <cfRule type="expression" dxfId="153" priority="73">
      <formula>$B$5="MFR"</formula>
    </cfRule>
    <cfRule type="expression" dxfId="152" priority="74">
      <formula>$B$5="IS"</formula>
    </cfRule>
    <cfRule type="expression" dxfId="151" priority="75">
      <formula>$B$5="AA"</formula>
    </cfRule>
  </conditionalFormatting>
  <conditionalFormatting sqref="B3:E4 B6:E6 H3:H5 H9:H10 B9:B10 B13:B14 A31:C33 A35:C37 E31:E33 E35:E37 A72:G75 A77:G80 A82:G85 A87:G90 A92:G95 A97:G100 A102:G105 E123:G123 E69 C134:C136 C142 E143 C144 C147 E148 C149 C157 C165 C167 C172 A187:H191 A22:C23 E22:E23 A19:C20 E19:E20 A113:G115 A109:G111 E173:E177 A175:D177 E159:E163 A161:D163 A153:D156 E150:E156 B43:E46 B48:E51 B53:E55 B57:E59 B5:C5">
    <cfRule type="expression" dxfId="150" priority="63">
      <formula>$B$5="AA"</formula>
    </cfRule>
  </conditionalFormatting>
  <conditionalFormatting sqref="B3:E4 B6:E6 H3:H5 H9:H10 B9:B10 B13:B14 A31:C33 A35:C37 E31:E33 E35:E37 A72:G75 A77:G80 A82:G85 A87:G90 A92:G95 A97:G100 A102:G105 E123:G123 E69 C134:C136 C142 E143 C144 C147 E148 C149 C157 C165 C167 C172 A187:H191 A22:C23 E22:E23 A19:C20 E19:E20 A113:G115 A109:G111 E173:E177 A175:D177 E159:E163 A161:D163 A153:D156 E150:E156 B43:E46 B48:E51 B53:E55 B57:E59 B5:C5">
    <cfRule type="expression" dxfId="149" priority="62">
      <formula>$B$5="IS"</formula>
    </cfRule>
  </conditionalFormatting>
  <conditionalFormatting sqref="B3:E4 B6:E6 H3:H5 H9:H10 B9:B10 B13:B14 A31:C33 A35:C37 E31:E33 E35:E37 A72:G75 A77:G80 A82:G85 A87:G90 A92:G95 A97:G100 A102:G105 E123:G123 E69 C134:C136 C142 E143 C144 C147 E148 C149 C157 C165 C167 C172 A187:H191 A22:C23 E22:E23 A19:C20 E19:E20 A113:G115 A109:G111 E173:E177 A175:D177 E159:E163 A161:D163 A153:D156 E150:E156 B43:E46 B48:E51 B53:E55 B57:E59 B5:C5">
    <cfRule type="expression" dxfId="148" priority="61">
      <formula>$B$5="MFR"</formula>
    </cfRule>
  </conditionalFormatting>
  <conditionalFormatting sqref="B3:E4 B6:E6 H3:H5 H9:H10 B9:B10 B13:B14 A31:C33 A35:C37 E31:E33 E35:E37 A72:G75 A77:G80 A82:G85 A87:G90 A92:G95 A97:G100 A102:G105 E123:G123 E69 C134:C136 C142 E143 C144 C147 E148 C149 C157 C165 C167 C172 A187:H191 A22:C23 E22:E23 A19:C20 E19:E20 A113:G115 A109:G111 E173:E177 A175:D177 E159:E163 A161:D163 A153:D156 E150:E156 B43:E46 B48:E51 B53:E55 B57:E59 B5:C5">
    <cfRule type="expression" dxfId="147" priority="60">
      <formula>$B$5="MP"</formula>
    </cfRule>
  </conditionalFormatting>
  <conditionalFormatting sqref="B3:E4 B6:E6 H3:H5 H9:H10 B9:B10 B13:B14 A31:C33 A35:C37 E31:E33 E35:E37 A72:G75 A77:G80 A82:G85 A87:G90 A92:G95 A97:G100 A102:G105 E123:G123 E69 C134:C136 C142 E143 C144 C147 E148 C149 C157 C165 C167 C172 A187:H191 A22:C23 E22:E23 A19:C20 E19:E20 A113:G115 A109:G111 E173:E177 A175:D177 E159:E163 A161:D163 A153:D156 E150:E156 B43:E46 B48:E51 B53:E55 B57:E59 B5:C5">
    <cfRule type="expression" dxfId="146" priority="59">
      <formula>$B$5="P&amp;D"</formula>
    </cfRule>
  </conditionalFormatting>
  <conditionalFormatting sqref="B3:E4 B6:E6 H3:H5 H9:H10 B9:B10 B13:B14 A31:C33 A35:C37 E31:E33 E35:E37 A72:G75 A77:G80 A82:G85 A87:G90 A92:G95 A97:G100 A102:G105 E123:G123 E69 C134:C136 C142 E143 C144 C147 E148 C149 C157 C165 C167 C172 A187:H191 A22:C23 E22:E23 A19:C20 E19:E20 A113:G115 A109:G111 E173:E177 A175:D177 E159:E163 A161:D163 A153:D156 E150:E156 B43:E46 B48:E51 B53:E55 B57:E59 B5:C5">
    <cfRule type="expression" dxfId="145" priority="58">
      <formula>$B$5="SP"</formula>
    </cfRule>
  </conditionalFormatting>
  <conditionalFormatting sqref="H63 H121 H128 H141 H146 H165 H167 H169 H179">
    <cfRule type="expression" dxfId="144" priority="52">
      <formula>$B$5="SP"</formula>
    </cfRule>
    <cfRule type="expression" dxfId="143" priority="53">
      <formula>$B$5="P&amp;D"</formula>
    </cfRule>
    <cfRule type="expression" dxfId="142" priority="54">
      <formula>$B$5="MP"</formula>
    </cfRule>
    <cfRule type="expression" dxfId="141" priority="55">
      <formula>$B$5="MFR"</formula>
    </cfRule>
    <cfRule type="expression" dxfId="140" priority="56">
      <formula>$B$5="IS"</formula>
    </cfRule>
    <cfRule type="expression" dxfId="139" priority="57">
      <formula>$B$5="AA"</formula>
    </cfRule>
  </conditionalFormatting>
  <conditionalFormatting sqref="E43:E46">
    <cfRule type="cellIs" dxfId="138" priority="44" operator="greaterThan">
      <formula>$F43</formula>
    </cfRule>
    <cfRule type="cellIs" dxfId="137" priority="45" operator="lessThan">
      <formula>$F43</formula>
    </cfRule>
  </conditionalFormatting>
  <conditionalFormatting sqref="E57:E59 E53:E55 E48:E51">
    <cfRule type="cellIs" dxfId="136" priority="42" operator="greaterThan">
      <formula>$F48</formula>
    </cfRule>
    <cfRule type="cellIs" dxfId="135" priority="43" operator="lessThan">
      <formula>$F48</formula>
    </cfRule>
  </conditionalFormatting>
  <conditionalFormatting sqref="H6">
    <cfRule type="expression" dxfId="134" priority="20">
      <formula>IF(AND($B5="MFR",$H6&gt;7400000),$H$179)</formula>
    </cfRule>
    <cfRule type="expression" dxfId="133" priority="21">
      <formula>IF(AND($B5="SP",$H6&gt;300000),$H$179)</formula>
    </cfRule>
    <cfRule type="expression" dxfId="132" priority="22">
      <formula>IF(AND($B5="IS",$H6&gt;7400000),$H$179)</formula>
    </cfRule>
    <cfRule type="expression" dxfId="131" priority="25">
      <formula>IF(AND($B5="AA",$H6&gt;=5000000),$H$179)</formula>
    </cfRule>
    <cfRule type="expression" dxfId="130" priority="26">
      <formula>IF(AND($B5="AA",$H6&gt;=3000000,$H6&lt;=5000000),$H$179)</formula>
    </cfRule>
    <cfRule type="expression" dxfId="129" priority="36">
      <formula>$B$5="SP"</formula>
    </cfRule>
    <cfRule type="expression" dxfId="128" priority="37">
      <formula>$B$5="P&amp;D"</formula>
    </cfRule>
    <cfRule type="expression" dxfId="127" priority="38">
      <formula>$B$5="MP"</formula>
    </cfRule>
    <cfRule type="expression" dxfId="126" priority="39">
      <formula>$B$5="MFR"</formula>
    </cfRule>
    <cfRule type="expression" dxfId="125" priority="40">
      <formula>$B$5="IS"</formula>
    </cfRule>
    <cfRule type="expression" dxfId="124" priority="41">
      <formula>$B$5="AA"</formula>
    </cfRule>
  </conditionalFormatting>
  <conditionalFormatting sqref="H179">
    <cfRule type="expression" dxfId="123" priority="15">
      <formula>IF(AND($B5="MFR",$H6&gt;7400000),$H$179)</formula>
    </cfRule>
    <cfRule type="expression" dxfId="122" priority="16">
      <formula>IF(AND($B5="SP",$H6&gt;300000),$H$179)</formula>
    </cfRule>
    <cfRule type="expression" dxfId="121" priority="17">
      <formula>IF(AND($B5="IS",$H6&gt;7400000),$H$179)</formula>
    </cfRule>
    <cfRule type="expression" dxfId="120" priority="18">
      <formula>IF(AND($B5="AA",$H6&gt;=5000000),$H$179)</formula>
    </cfRule>
    <cfRule type="expression" dxfId="119" priority="19">
      <formula>IF(AND($B5="AA",$H6&gt;=3000000,$H6&lt;=5000000),$H$179)</formula>
    </cfRule>
  </conditionalFormatting>
  <conditionalFormatting sqref="H9">
    <cfRule type="expression" dxfId="118" priority="13">
      <formula>$H$9&gt;NOW()</formula>
    </cfRule>
  </conditionalFormatting>
  <printOptions horizontalCentered="1"/>
  <pageMargins left="0.25" right="0.25" top="0.25" bottom="0.5" header="0.25" footer="0.25"/>
  <pageSetup orientation="portrait" horizontalDpi="4294967292" verticalDpi="4294967292" r:id="rId1"/>
  <headerFooter>
    <oddFooter>&amp;L&amp;"Arial Narrow,Regular"&amp;8&amp;K000000&amp;D&amp;C&amp;"Arial Narrow,Regular"&amp;8&amp;K000000PBW&amp;R&amp;"Arial Narrow,Regular"&amp;8&amp;K000000&amp;P of &amp;N</oddFooter>
  </headerFooter>
  <rowBreaks count="1" manualBreakCount="1">
    <brk id="63" max="16383" man="1"/>
  </rowBreaks>
  <ignoredErrors>
    <ignoredError sqref="B9:B10 E48 E53:E55 E57:E59 H12 B13 E43:E46 E49:E51 H3" unlockedFormula="1"/>
  </ignoredErrors>
  <legacyDrawing r:id="rId2"/>
  <extLst>
    <ext xmlns:x14="http://schemas.microsoft.com/office/spreadsheetml/2009/9/main" uri="{78C0D931-6437-407d-A8EE-F0AAD7539E65}">
      <x14:conditionalFormattings>
        <x14:conditionalFormatting xmlns:xm="http://schemas.microsoft.com/office/excel/2006/main">
          <x14:cfRule type="cellIs" priority="7" operator="between" id="{5E84246E-62B9-3046-B510-248F8D91E5CF}">
            <xm:f>LOOKUPS!$A$4</xm:f>
            <xm:f>LOOKUPS!$A$5</xm:f>
            <x14:dxf>
              <font>
                <color rgb="FF9C5700"/>
              </font>
              <fill>
                <patternFill>
                  <bgColor rgb="FFFFEB9C"/>
                </patternFill>
              </fill>
            </x14:dxf>
          </x14:cfRule>
          <x14:cfRule type="expression" priority="9" id="{EB9DB75E-23F0-4A4A-B001-2A01259E2354}">
            <xm:f>$H$9&lt;LOOKUPS!$A$5</xm:f>
            <x14:dxf>
              <font>
                <color rgb="FF9C0006"/>
              </font>
              <fill>
                <patternFill>
                  <bgColor rgb="FFFFC7CE"/>
                </patternFill>
              </fill>
            </x14:dxf>
          </x14:cfRule>
          <x14:cfRule type="expression" priority="14" id="{1FAAF4A3-018E-3C42-BC99-A50C7F2B4E42}">
            <xm:f>$H$9&gt;LOOKUPS!$A$2</xm:f>
            <x14:dxf>
              <font>
                <color rgb="FF9C0006"/>
              </font>
              <fill>
                <patternFill>
                  <bgColor rgb="FFFFC7CE"/>
                </patternFill>
              </fill>
            </x14:dxf>
          </x14:cfRule>
          <xm:sqref>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A4CA0A9-BB94-4047-8F96-0EC39F339995}">
          <x14:formula1>
            <xm:f>LOOKUPS!$C$2:$C$8</xm:f>
          </x14:formula1>
          <xm:sqref>B5</xm:sqref>
        </x14:dataValidation>
      </x14:dataValidations>
    </ex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A97E1-747C-5D4D-80D9-CAB0C72CED33}">
  <sheetPr codeName="Sheet5">
    <tabColor theme="1" tint="0.249977111117893"/>
  </sheetPr>
  <dimension ref="A1:M59"/>
  <sheetViews>
    <sheetView showGridLines="0" view="pageLayout" workbookViewId="0">
      <selection activeCell="B3" sqref="B3:E3"/>
    </sheetView>
  </sheetViews>
  <sheetFormatPr baseColWidth="10" defaultColWidth="9.19921875" defaultRowHeight="12"/>
  <cols>
    <col min="1" max="1" width="21" customWidth="1"/>
    <col min="2" max="2" width="12.3984375" customWidth="1"/>
    <col min="3" max="3" width="11.796875" customWidth="1"/>
    <col min="4" max="4" width="11.796875" bestFit="1" customWidth="1"/>
    <col min="5" max="5" width="23.59765625" customWidth="1"/>
    <col min="8" max="8" width="13.796875" customWidth="1"/>
  </cols>
  <sheetData>
    <row r="1" spans="1:13" ht="13">
      <c r="A1" s="231" t="s">
        <v>20</v>
      </c>
      <c r="B1" s="232"/>
      <c r="C1" s="232"/>
      <c r="D1" s="232"/>
      <c r="E1" s="232"/>
      <c r="F1" s="232"/>
      <c r="G1" s="232"/>
      <c r="H1" s="233" t="str">
        <f>"PROJECT BUDGET WORKSHEET SUMMARY (NO INFLATION)"&amp;" "&amp;VERSION</f>
        <v>PROJECT BUDGET WORKSHEET SUMMARY (NO INFLATION) Rev. 2023-03</v>
      </c>
    </row>
    <row r="2" spans="1:13">
      <c r="A2" s="5"/>
      <c r="B2" s="5"/>
      <c r="C2" s="5"/>
      <c r="D2" s="5"/>
      <c r="E2" s="5"/>
      <c r="F2" s="1" t="s">
        <v>21</v>
      </c>
      <c r="G2" s="5"/>
      <c r="H2" s="5"/>
      <c r="I2" s="5"/>
      <c r="J2" s="5"/>
      <c r="K2" s="5"/>
      <c r="L2" s="5"/>
      <c r="M2" s="5"/>
    </row>
    <row r="3" spans="1:13">
      <c r="A3" s="2" t="s">
        <v>22</v>
      </c>
      <c r="B3" s="548" t="str">
        <f>UPPER(PBW_NoInflation!$B$3)</f>
        <v>X</v>
      </c>
      <c r="C3" s="548"/>
      <c r="D3" s="548"/>
      <c r="E3" s="548"/>
      <c r="F3" s="1" t="s">
        <v>174</v>
      </c>
      <c r="G3" s="5"/>
      <c r="H3" s="25">
        <f ca="1">(PBW_NoInflation!$H$3)</f>
        <v>44986.704273263887</v>
      </c>
      <c r="I3" s="5"/>
      <c r="J3" s="5"/>
      <c r="K3" s="5"/>
      <c r="L3" s="5"/>
      <c r="M3" s="5"/>
    </row>
    <row r="4" spans="1:13">
      <c r="A4" s="2" t="s">
        <v>102</v>
      </c>
      <c r="B4" s="549" t="str">
        <f>UPPER(PBW_NoInflation!$B$4)</f>
        <v>X</v>
      </c>
      <c r="C4" s="549"/>
      <c r="D4" s="549"/>
      <c r="E4" s="549"/>
      <c r="F4" s="1" t="s">
        <v>175</v>
      </c>
      <c r="G4" s="5"/>
      <c r="H4" s="512" t="str">
        <f>UPPER(PBW_NoInflation!$H$4)</f>
        <v>XXX</v>
      </c>
      <c r="I4" s="5"/>
      <c r="J4" s="5"/>
      <c r="K4" s="5"/>
      <c r="L4" s="5"/>
      <c r="M4" s="5"/>
    </row>
    <row r="5" spans="1:13">
      <c r="A5" s="11" t="s">
        <v>270</v>
      </c>
      <c r="B5" s="3" t="str">
        <f>UPPER(PBW_NoInflation!$B$5)</f>
        <v>UNSPECIFIED</v>
      </c>
      <c r="C5" s="5"/>
      <c r="D5" s="5"/>
      <c r="E5" s="5"/>
      <c r="F5" s="5" t="s">
        <v>53</v>
      </c>
      <c r="G5" s="5"/>
      <c r="H5" s="26" t="str">
        <f>UPPER(PBW_NoInflation!$H$5)</f>
        <v>XXX</v>
      </c>
      <c r="I5" s="5"/>
      <c r="J5" s="5"/>
      <c r="K5" s="5"/>
      <c r="L5" s="5"/>
      <c r="M5" s="5"/>
    </row>
    <row r="6" spans="1:13">
      <c r="A6" s="2" t="s">
        <v>103</v>
      </c>
      <c r="B6" s="549" t="str">
        <f>UPPER(PBW_NoInflation!$B$6)</f>
        <v>X</v>
      </c>
      <c r="C6" s="549"/>
      <c r="D6" s="549"/>
      <c r="E6" s="549"/>
      <c r="F6" s="2" t="s">
        <v>23</v>
      </c>
      <c r="G6" s="5"/>
      <c r="H6" s="84">
        <f>(PBW_NoInflation!$H$6)</f>
        <v>0</v>
      </c>
      <c r="I6" s="5"/>
      <c r="J6" s="5"/>
      <c r="K6" s="5"/>
      <c r="L6" s="5"/>
      <c r="M6" s="5"/>
    </row>
    <row r="7" spans="1:13">
      <c r="A7" s="5"/>
      <c r="B7" s="5"/>
      <c r="C7" s="5"/>
      <c r="D7" s="5"/>
      <c r="E7" s="5"/>
      <c r="F7" s="5"/>
      <c r="G7" s="5"/>
      <c r="H7" s="5"/>
      <c r="I7" s="5"/>
      <c r="J7" s="5"/>
      <c r="K7" s="5"/>
      <c r="L7" s="5"/>
      <c r="M7" s="5"/>
    </row>
    <row r="8" spans="1:13">
      <c r="A8" s="2" t="s">
        <v>24</v>
      </c>
      <c r="B8" s="5"/>
      <c r="C8" s="5"/>
      <c r="D8" s="5"/>
      <c r="E8" s="5"/>
      <c r="F8" s="5"/>
      <c r="G8" s="5"/>
      <c r="H8" s="5"/>
      <c r="I8" s="5"/>
      <c r="J8" s="5"/>
      <c r="K8" s="5"/>
      <c r="L8" s="5"/>
      <c r="M8" s="5"/>
    </row>
    <row r="9" spans="1:13">
      <c r="A9" s="1" t="s">
        <v>25</v>
      </c>
      <c r="B9" s="28">
        <f>(PBW_NoInflation!$B$9)</f>
        <v>0</v>
      </c>
      <c r="C9" s="5"/>
      <c r="D9" s="5"/>
      <c r="E9" s="5"/>
      <c r="F9" s="1" t="s">
        <v>62</v>
      </c>
      <c r="G9" s="5"/>
      <c r="H9" s="513">
        <f>(PBW_NoInflation!$H$9)</f>
        <v>44927</v>
      </c>
      <c r="I9" s="5"/>
      <c r="J9" s="5"/>
      <c r="K9" s="5"/>
      <c r="L9" s="5"/>
      <c r="M9" s="5"/>
    </row>
    <row r="10" spans="1:13">
      <c r="A10" s="1" t="s">
        <v>26</v>
      </c>
      <c r="B10" s="28">
        <f>(PBW_NoInflation!$B$10)</f>
        <v>0</v>
      </c>
      <c r="C10" s="4">
        <f>(PBW_NoInflation!$C$10)</f>
        <v>0</v>
      </c>
      <c r="D10" s="5" t="s">
        <v>58</v>
      </c>
      <c r="E10" s="5"/>
      <c r="F10" s="1" t="s">
        <v>252</v>
      </c>
      <c r="G10" s="5"/>
      <c r="H10" s="5">
        <f>(PBW_NoInflation!$G$9)</f>
        <v>7976.68</v>
      </c>
      <c r="I10" s="5"/>
      <c r="J10" s="5"/>
      <c r="K10" s="5"/>
      <c r="L10" s="5"/>
      <c r="M10" s="5"/>
    </row>
    <row r="11" spans="1:13">
      <c r="A11" s="5"/>
      <c r="B11" s="3"/>
      <c r="C11" s="5"/>
      <c r="D11" s="5"/>
      <c r="E11" s="5"/>
      <c r="F11" s="1" t="s">
        <v>249</v>
      </c>
      <c r="G11" s="5"/>
      <c r="H11" s="514">
        <f>(PBW_NoInflation!$H$10)</f>
        <v>47300</v>
      </c>
      <c r="I11" s="5"/>
      <c r="J11" s="5"/>
      <c r="K11" s="5"/>
      <c r="L11" s="5"/>
      <c r="M11" s="5"/>
    </row>
    <row r="12" spans="1:13">
      <c r="A12" s="5"/>
      <c r="B12" s="3"/>
      <c r="C12" s="5"/>
      <c r="D12" s="5"/>
      <c r="E12" s="5"/>
      <c r="F12" s="1" t="s">
        <v>251</v>
      </c>
      <c r="G12" s="5"/>
      <c r="H12" s="444">
        <f>(PBW_NoInflation!$G$10)</f>
        <v>14068.091119606019</v>
      </c>
      <c r="I12" s="5"/>
      <c r="J12" s="5"/>
      <c r="K12" s="5"/>
      <c r="L12" s="5"/>
      <c r="M12" s="5"/>
    </row>
    <row r="13" spans="1:13">
      <c r="A13" s="2" t="s">
        <v>27</v>
      </c>
      <c r="B13" s="3"/>
      <c r="C13" s="5"/>
      <c r="D13" s="5"/>
      <c r="E13" s="5"/>
      <c r="F13" s="1" t="s">
        <v>28</v>
      </c>
      <c r="G13" s="5"/>
      <c r="H13" s="72">
        <f>(ENR)</f>
        <v>1.763652436804036</v>
      </c>
      <c r="I13" s="5"/>
      <c r="J13" s="5"/>
      <c r="K13" s="5"/>
      <c r="L13" s="5"/>
      <c r="M13" s="5"/>
    </row>
    <row r="14" spans="1:13">
      <c r="A14" s="1" t="s">
        <v>29</v>
      </c>
      <c r="B14" s="28">
        <f>PBW_NoInflation!B13</f>
        <v>0</v>
      </c>
      <c r="C14" s="5"/>
      <c r="D14" s="5"/>
      <c r="E14" s="5"/>
      <c r="F14" s="5"/>
      <c r="G14" s="5"/>
      <c r="H14" s="5"/>
      <c r="I14" s="5"/>
      <c r="J14" s="5"/>
      <c r="K14" s="5"/>
      <c r="L14" s="5"/>
      <c r="M14" s="5"/>
    </row>
    <row r="15" spans="1:13">
      <c r="A15" s="1" t="s">
        <v>30</v>
      </c>
      <c r="B15" s="28">
        <f>PBW_NoInflation!B14</f>
        <v>0</v>
      </c>
      <c r="C15" s="4">
        <f>PBW_NoInflation!C14</f>
        <v>0</v>
      </c>
      <c r="D15" s="5" t="s">
        <v>59</v>
      </c>
      <c r="E15" s="5"/>
      <c r="F15" s="1" t="s">
        <v>173</v>
      </c>
      <c r="G15" s="5"/>
      <c r="H15" s="513" t="str">
        <f>(PBW_NoInflation!$H$14)</f>
        <v/>
      </c>
      <c r="I15" s="5"/>
      <c r="J15" s="5"/>
      <c r="K15" s="5"/>
      <c r="L15" s="5"/>
      <c r="M15" s="5"/>
    </row>
    <row r="16" spans="1:13">
      <c r="A16" s="1"/>
      <c r="B16" s="3"/>
      <c r="C16" s="4"/>
      <c r="D16" s="5"/>
      <c r="E16" s="5"/>
      <c r="F16" s="1"/>
      <c r="G16" s="5"/>
      <c r="H16" s="85"/>
      <c r="I16" s="5"/>
      <c r="J16" s="5"/>
      <c r="K16" s="5"/>
      <c r="L16" s="5"/>
      <c r="M16" s="5"/>
    </row>
    <row r="17" spans="1:13">
      <c r="A17" s="1"/>
      <c r="B17" s="3"/>
      <c r="C17" s="32">
        <f>(PBW_NoInflation!$C$181)</f>
        <v>0</v>
      </c>
      <c r="D17" s="23" t="s">
        <v>56</v>
      </c>
      <c r="E17" s="5"/>
      <c r="F17" s="1"/>
      <c r="G17" s="5"/>
      <c r="H17" s="85"/>
      <c r="I17" s="5"/>
      <c r="J17" s="5"/>
      <c r="K17" s="5"/>
      <c r="L17" s="5"/>
      <c r="M17" s="5"/>
    </row>
    <row r="18" spans="1:13">
      <c r="A18" s="1"/>
      <c r="B18" s="3"/>
      <c r="C18" s="32">
        <f>(PBW_NoInflation!$C$182)</f>
        <v>0</v>
      </c>
      <c r="D18" s="23" t="s">
        <v>57</v>
      </c>
      <c r="E18" s="5"/>
      <c r="F18" s="1"/>
      <c r="G18" s="5"/>
      <c r="H18" s="85"/>
      <c r="I18" s="5"/>
      <c r="J18" s="5"/>
      <c r="K18" s="5"/>
      <c r="L18" s="5"/>
      <c r="M18" s="5"/>
    </row>
    <row r="19" spans="1:13">
      <c r="A19" s="1"/>
      <c r="B19" s="3"/>
      <c r="C19" s="6"/>
      <c r="D19" s="5"/>
      <c r="E19" s="5"/>
      <c r="F19" s="1"/>
      <c r="G19" s="5"/>
      <c r="H19" s="85"/>
      <c r="I19" s="5"/>
      <c r="J19" s="5"/>
      <c r="K19" s="5"/>
      <c r="L19" s="5"/>
      <c r="M19" s="5"/>
    </row>
    <row r="20" spans="1:13">
      <c r="A20" s="1"/>
      <c r="B20" s="3"/>
      <c r="C20" s="32">
        <f>(PBW_NoInflation!$C$184)</f>
        <v>0</v>
      </c>
      <c r="D20" s="23" t="s">
        <v>55</v>
      </c>
      <c r="E20" s="5"/>
      <c r="F20" s="1"/>
      <c r="G20" s="5"/>
      <c r="H20" s="85"/>
      <c r="I20" s="5"/>
      <c r="J20" s="5"/>
      <c r="K20" s="5"/>
      <c r="L20" s="5"/>
      <c r="M20" s="5"/>
    </row>
    <row r="21" spans="1:13">
      <c r="A21" s="5"/>
      <c r="B21" s="5"/>
      <c r="C21" s="32">
        <f>(PBW_NoInflation!$C$185)</f>
        <v>0</v>
      </c>
      <c r="D21" s="23" t="s">
        <v>54</v>
      </c>
      <c r="E21" s="5"/>
      <c r="F21" s="5"/>
      <c r="G21" s="5"/>
      <c r="H21" s="5"/>
      <c r="I21" s="5"/>
      <c r="J21" s="5"/>
      <c r="K21" s="5"/>
      <c r="L21" s="5"/>
      <c r="M21" s="5"/>
    </row>
    <row r="22" spans="1:13" ht="13" thickBot="1">
      <c r="A22" s="10"/>
      <c r="B22" s="10"/>
      <c r="C22" s="10"/>
      <c r="D22" s="10"/>
      <c r="E22" s="10"/>
      <c r="F22" s="10"/>
      <c r="G22" s="10"/>
      <c r="H22" s="10"/>
      <c r="I22" s="5"/>
      <c r="J22" s="5"/>
      <c r="K22" s="5"/>
      <c r="L22" s="5"/>
      <c r="M22" s="5"/>
    </row>
    <row r="23" spans="1:13" ht="13" thickBot="1">
      <c r="A23" s="5"/>
      <c r="B23" s="27"/>
      <c r="C23" s="27"/>
      <c r="D23" s="5"/>
      <c r="E23" s="5"/>
      <c r="F23" s="5"/>
      <c r="G23" s="5"/>
      <c r="H23" s="5"/>
      <c r="I23" s="5"/>
      <c r="J23" s="5"/>
      <c r="K23" s="5"/>
      <c r="L23" s="5"/>
      <c r="M23" s="5"/>
    </row>
    <row r="24" spans="1:13" ht="13" thickBot="1">
      <c r="A24" s="304" t="s">
        <v>94</v>
      </c>
      <c r="B24" s="387"/>
      <c r="C24" s="387"/>
      <c r="D24" s="226"/>
      <c r="E24" s="226"/>
      <c r="F24" s="226"/>
      <c r="G24" s="226"/>
      <c r="H24" s="379">
        <f>(PBW_NoInflation!TOTCONST)</f>
        <v>0</v>
      </c>
      <c r="I24" s="5"/>
      <c r="J24" s="5"/>
      <c r="K24" s="5"/>
      <c r="L24" s="5"/>
      <c r="M24" s="5"/>
    </row>
    <row r="25" spans="1:13">
      <c r="A25" s="536" t="s">
        <v>93</v>
      </c>
      <c r="B25" s="27"/>
      <c r="C25" s="27"/>
      <c r="D25" s="5"/>
      <c r="E25" s="5"/>
      <c r="F25" s="5"/>
      <c r="G25" s="5"/>
      <c r="H25" s="28">
        <f>(TOTCONST-PBW_NoInflation!$H$123)</f>
        <v>0</v>
      </c>
      <c r="I25" s="5"/>
      <c r="J25" s="5"/>
      <c r="K25" s="5"/>
      <c r="L25" s="5"/>
      <c r="M25" s="5"/>
    </row>
    <row r="26" spans="1:13">
      <c r="A26" s="536" t="s">
        <v>84</v>
      </c>
      <c r="B26" s="27"/>
      <c r="C26" s="27"/>
      <c r="D26" s="5"/>
      <c r="E26" s="5"/>
      <c r="F26" s="5"/>
      <c r="G26" s="5"/>
      <c r="H26" s="28">
        <f>(PBW_NoInflation!$H$123)</f>
        <v>0</v>
      </c>
      <c r="I26" s="5"/>
      <c r="J26" s="5"/>
      <c r="K26" s="5"/>
      <c r="L26" s="5"/>
      <c r="M26" s="5"/>
    </row>
    <row r="27" spans="1:13" ht="13" thickBot="1">
      <c r="A27" s="1"/>
      <c r="B27" s="29"/>
      <c r="C27" s="29"/>
      <c r="D27" s="5"/>
      <c r="E27" s="5"/>
      <c r="F27" s="5"/>
      <c r="G27" s="5"/>
      <c r="H27" s="28"/>
      <c r="I27" s="5"/>
      <c r="J27" s="5"/>
      <c r="K27" s="5"/>
      <c r="L27" s="5"/>
      <c r="M27" s="5"/>
    </row>
    <row r="28" spans="1:13" ht="13" thickBot="1">
      <c r="A28" s="304" t="s">
        <v>97</v>
      </c>
      <c r="B28" s="226"/>
      <c r="C28" s="226"/>
      <c r="D28" s="226"/>
      <c r="E28" s="226"/>
      <c r="F28" s="226"/>
      <c r="G28" s="278" t="str">
        <f>IF($H$24=0,"",($H$28/$H$24))</f>
        <v/>
      </c>
      <c r="H28" s="379">
        <f>SUM(PBW_NoInflation!$H$141,PBW_NoInflation!$H$146)</f>
        <v>0</v>
      </c>
      <c r="I28" s="5"/>
      <c r="J28" s="5"/>
      <c r="K28" s="5"/>
      <c r="L28" s="5"/>
      <c r="M28" s="5"/>
    </row>
    <row r="29" spans="1:13">
      <c r="A29" s="536" t="s">
        <v>95</v>
      </c>
      <c r="B29" s="73"/>
      <c r="C29" s="29"/>
      <c r="D29" s="140"/>
      <c r="E29" s="5"/>
      <c r="F29" s="5"/>
      <c r="G29" s="152" t="str">
        <f>IF($H$24=0,"",($H$29/$H$24))</f>
        <v/>
      </c>
      <c r="H29" s="28">
        <f>(PBW_NoInflation!$H$141)</f>
        <v>0</v>
      </c>
      <c r="I29" s="5"/>
      <c r="J29" s="5"/>
      <c r="K29" s="5"/>
      <c r="L29" s="5"/>
      <c r="M29" s="5"/>
    </row>
    <row r="30" spans="1:13">
      <c r="A30" s="536" t="s">
        <v>96</v>
      </c>
      <c r="B30" s="73"/>
      <c r="C30" s="27"/>
      <c r="D30" s="140"/>
      <c r="E30" s="30"/>
      <c r="F30" s="5"/>
      <c r="G30" s="153" t="str">
        <f>IF($H$24=0,"",($H$30/$H$24))</f>
        <v/>
      </c>
      <c r="H30" s="28">
        <f>(PBW_NoInflation!$H$146)</f>
        <v>0</v>
      </c>
      <c r="I30" s="5"/>
      <c r="J30" s="5"/>
      <c r="K30" s="5"/>
      <c r="L30" s="5"/>
      <c r="M30" s="5"/>
    </row>
    <row r="31" spans="1:13" ht="13" thickBot="1">
      <c r="A31" s="2"/>
      <c r="B31" s="5"/>
      <c r="C31" s="5"/>
      <c r="D31" s="5"/>
      <c r="E31" s="5"/>
      <c r="F31" s="5"/>
      <c r="G31" s="5"/>
      <c r="H31" s="31"/>
      <c r="I31" s="5"/>
      <c r="J31" s="5"/>
      <c r="K31" s="5"/>
      <c r="L31" s="5"/>
      <c r="M31" s="5"/>
    </row>
    <row r="32" spans="1:13" ht="13" thickBot="1">
      <c r="A32" s="304" t="s">
        <v>98</v>
      </c>
      <c r="B32" s="388"/>
      <c r="C32" s="226"/>
      <c r="D32" s="226"/>
      <c r="E32" s="226"/>
      <c r="F32" s="226"/>
      <c r="G32" s="278" t="str">
        <f>IF($H$24=0,"",($H$32/$H$24))</f>
        <v/>
      </c>
      <c r="H32" s="379">
        <f>(PBW_NoInflation!$H$165)</f>
        <v>0</v>
      </c>
      <c r="I32" s="5"/>
      <c r="J32" s="5"/>
      <c r="K32" s="5"/>
      <c r="L32" s="5"/>
      <c r="M32" s="5"/>
    </row>
    <row r="33" spans="1:13" ht="13" thickBot="1">
      <c r="A33" s="144"/>
      <c r="B33" s="145"/>
      <c r="C33" s="5"/>
      <c r="D33" s="5"/>
      <c r="E33" s="5"/>
      <c r="F33" s="5"/>
      <c r="G33" s="5"/>
      <c r="H33" s="31"/>
      <c r="I33" s="5"/>
      <c r="J33" s="5"/>
      <c r="K33" s="5"/>
      <c r="L33" s="5"/>
      <c r="M33" s="5"/>
    </row>
    <row r="34" spans="1:13" ht="13" thickBot="1">
      <c r="A34" s="304" t="s">
        <v>99</v>
      </c>
      <c r="B34" s="388"/>
      <c r="C34" s="226"/>
      <c r="D34" s="226"/>
      <c r="E34" s="226"/>
      <c r="F34" s="226"/>
      <c r="G34" s="278" t="str">
        <f>IF(SUM($H$24,$H$32)=0,"",($H$34/SUM($H$24+$H$32)))</f>
        <v/>
      </c>
      <c r="H34" s="379">
        <f>(PBW_NoInflation!$H$167)</f>
        <v>0</v>
      </c>
      <c r="I34" s="5"/>
      <c r="J34" s="5"/>
      <c r="K34" s="5"/>
      <c r="L34" s="5"/>
      <c r="M34" s="5"/>
    </row>
    <row r="35" spans="1:13" ht="13" thickBot="1">
      <c r="A35" s="2"/>
      <c r="B35" s="5"/>
      <c r="C35" s="5"/>
      <c r="D35" s="5"/>
      <c r="E35" s="5"/>
      <c r="F35" s="5"/>
      <c r="G35" s="5"/>
      <c r="H35" s="28"/>
      <c r="I35" s="5"/>
      <c r="J35" s="5"/>
      <c r="K35" s="5"/>
      <c r="L35" s="5"/>
      <c r="M35" s="5"/>
    </row>
    <row r="36" spans="1:13" ht="13" thickBot="1">
      <c r="A36" s="304" t="s">
        <v>142</v>
      </c>
      <c r="B36" s="226"/>
      <c r="C36" s="226"/>
      <c r="D36" s="226"/>
      <c r="E36" s="226"/>
      <c r="F36" s="226"/>
      <c r="G36" s="278" t="str">
        <f>IF($H$24=0,"",($H$36/$H$24))</f>
        <v/>
      </c>
      <c r="H36" s="379">
        <f>(PBW_NoInflation!$H$169)</f>
        <v>0</v>
      </c>
      <c r="I36" s="5"/>
      <c r="J36" s="5"/>
      <c r="K36" s="5"/>
      <c r="L36" s="5"/>
      <c r="M36" s="5"/>
    </row>
    <row r="37" spans="1:13">
      <c r="A37" s="536" t="s">
        <v>143</v>
      </c>
      <c r="B37" s="73"/>
      <c r="C37" s="5"/>
      <c r="D37" s="140"/>
      <c r="E37" s="5"/>
      <c r="F37" s="5"/>
      <c r="G37" s="74" t="str">
        <f>IF($H$24=0,"",($H$37/$H$24))</f>
        <v/>
      </c>
      <c r="H37" s="28">
        <f>(PBW_NoInflation!$G$158)</f>
        <v>0</v>
      </c>
      <c r="I37" s="5"/>
      <c r="J37" s="5"/>
      <c r="K37" s="5"/>
      <c r="L37" s="5"/>
      <c r="M37" s="5"/>
    </row>
    <row r="38" spans="1:13">
      <c r="A38" s="536" t="s">
        <v>144</v>
      </c>
      <c r="B38" s="74"/>
      <c r="C38" s="5"/>
      <c r="D38" s="140"/>
      <c r="E38" s="5"/>
      <c r="F38" s="5"/>
      <c r="G38" s="74" t="str">
        <f>IF($H$24=0,"",($H$38/$H$24))</f>
        <v/>
      </c>
      <c r="H38" s="28">
        <f>(PBW_NoInflation!$G$171)</f>
        <v>0</v>
      </c>
      <c r="I38" s="5"/>
      <c r="J38" s="5"/>
      <c r="K38" s="5"/>
      <c r="L38" s="5"/>
      <c r="M38" s="5"/>
    </row>
    <row r="39" spans="1:13" ht="13" thickBot="1">
      <c r="A39" s="2"/>
      <c r="B39" s="5"/>
      <c r="C39" s="5"/>
      <c r="D39" s="5"/>
      <c r="E39" s="5"/>
      <c r="F39" s="5"/>
      <c r="G39" s="5"/>
      <c r="H39" s="31"/>
      <c r="I39" s="5"/>
      <c r="J39" s="5"/>
      <c r="K39" s="5"/>
      <c r="L39" s="5"/>
      <c r="M39" s="5"/>
    </row>
    <row r="40" spans="1:13" ht="13" thickBot="1">
      <c r="A40" s="304" t="s">
        <v>100</v>
      </c>
      <c r="B40" s="226"/>
      <c r="C40" s="226"/>
      <c r="D40" s="226"/>
      <c r="E40" s="226"/>
      <c r="F40" s="304"/>
      <c r="G40" s="306"/>
      <c r="H40" s="379">
        <f>SUM(H$24,H$28,H$32,H$34,$H$36)</f>
        <v>0</v>
      </c>
      <c r="I40" s="5"/>
      <c r="J40" s="5"/>
      <c r="K40" s="5"/>
      <c r="L40" s="5"/>
      <c r="M40" s="5"/>
    </row>
    <row r="41" spans="1:13">
      <c r="A41" s="5"/>
      <c r="B41" s="5"/>
      <c r="C41" s="5"/>
      <c r="D41" s="5"/>
      <c r="E41" s="5"/>
      <c r="F41" s="5"/>
      <c r="G41" s="5"/>
      <c r="H41" s="5"/>
      <c r="I41" s="5"/>
      <c r="J41" s="5"/>
      <c r="K41" s="5"/>
      <c r="L41" s="5"/>
      <c r="M41" s="5"/>
    </row>
    <row r="42" spans="1:13" ht="13" thickBot="1">
      <c r="A42" s="10"/>
      <c r="B42" s="10"/>
      <c r="C42" s="10"/>
      <c r="D42" s="10"/>
      <c r="E42" s="10"/>
      <c r="F42" s="10"/>
      <c r="G42" s="10"/>
      <c r="H42" s="10"/>
      <c r="I42" s="5"/>
      <c r="J42" s="5"/>
      <c r="K42" s="5"/>
      <c r="L42" s="5"/>
      <c r="M42" s="5"/>
    </row>
    <row r="43" spans="1:13">
      <c r="A43" s="5"/>
      <c r="B43" s="5"/>
      <c r="C43" s="5"/>
      <c r="D43" s="5"/>
      <c r="E43" s="5"/>
      <c r="F43" s="5"/>
      <c r="G43" s="5"/>
      <c r="H43" s="5"/>
      <c r="I43" s="5"/>
      <c r="J43" s="5"/>
      <c r="K43" s="5"/>
      <c r="L43" s="5"/>
      <c r="M43" s="5"/>
    </row>
    <row r="44" spans="1:13">
      <c r="A44" s="5"/>
      <c r="B44" s="5"/>
      <c r="C44" s="5"/>
      <c r="D44" s="5"/>
      <c r="E44" s="5"/>
      <c r="F44" s="5"/>
      <c r="G44" s="5"/>
      <c r="H44" s="5"/>
      <c r="I44" s="5"/>
      <c r="J44" s="5"/>
      <c r="K44" s="5"/>
      <c r="L44" s="5"/>
      <c r="M44" s="5"/>
    </row>
    <row r="45" spans="1:13">
      <c r="A45" s="5"/>
      <c r="B45" s="5"/>
      <c r="C45" s="5"/>
      <c r="D45" s="5"/>
      <c r="E45" s="5"/>
      <c r="F45" s="5"/>
      <c r="G45" s="5"/>
      <c r="H45" s="5"/>
      <c r="I45" s="5"/>
      <c r="J45" s="5"/>
      <c r="K45" s="5"/>
      <c r="L45" s="5"/>
      <c r="M45" s="5"/>
    </row>
    <row r="46" spans="1:13">
      <c r="A46" s="574" t="s">
        <v>307</v>
      </c>
      <c r="B46" s="574"/>
      <c r="C46" s="574"/>
      <c r="D46" s="574"/>
      <c r="E46" s="5"/>
      <c r="F46" s="575" t="s">
        <v>206</v>
      </c>
      <c r="G46" s="575"/>
      <c r="H46" s="575"/>
      <c r="I46" s="5"/>
      <c r="J46" s="5"/>
      <c r="K46" s="5"/>
      <c r="L46" s="5"/>
      <c r="M46" s="5"/>
    </row>
    <row r="47" spans="1:13">
      <c r="A47" s="176"/>
      <c r="B47" s="176"/>
      <c r="C47" s="176"/>
      <c r="D47" s="176"/>
      <c r="E47" s="5"/>
      <c r="F47" s="5"/>
      <c r="G47" s="5"/>
      <c r="H47" s="325" t="s">
        <v>215</v>
      </c>
      <c r="I47" s="5"/>
      <c r="J47" s="5"/>
      <c r="K47" s="5"/>
      <c r="L47" s="5"/>
      <c r="M47" s="5"/>
    </row>
    <row r="48" spans="1:13" ht="12.75" customHeight="1">
      <c r="A48" s="223" t="s">
        <v>189</v>
      </c>
      <c r="B48" s="515"/>
      <c r="C48" s="33" t="s">
        <v>198</v>
      </c>
      <c r="D48" s="376">
        <f>($H$25)</f>
        <v>0</v>
      </c>
      <c r="E48" s="134" t="s">
        <v>210</v>
      </c>
      <c r="F48" s="1" t="s">
        <v>203</v>
      </c>
      <c r="G48" s="38" t="s">
        <v>198</v>
      </c>
      <c r="H48" s="376">
        <f>($H$34)</f>
        <v>0</v>
      </c>
      <c r="I48" s="5"/>
      <c r="J48" s="5"/>
      <c r="K48" s="5"/>
      <c r="L48" s="5"/>
      <c r="M48" s="5"/>
    </row>
    <row r="49" spans="1:13" ht="12.75" customHeight="1">
      <c r="A49" s="223" t="s">
        <v>188</v>
      </c>
      <c r="B49" s="515"/>
      <c r="C49" s="33" t="s">
        <v>198</v>
      </c>
      <c r="D49" s="376">
        <f>($H$26)</f>
        <v>0</v>
      </c>
      <c r="E49" s="134" t="s">
        <v>209</v>
      </c>
      <c r="F49" s="1" t="s">
        <v>202</v>
      </c>
      <c r="G49" s="38" t="s">
        <v>198</v>
      </c>
      <c r="H49" s="376">
        <f>ROUND(SUM(PBW_NoInflation!$H$141,PBW_NoInflation!$E$147,PBW_NoInflation!$E$149,PBW_NoInflation!$E$157),-3)</f>
        <v>0</v>
      </c>
      <c r="I49" s="5"/>
      <c r="J49" s="5"/>
      <c r="K49" s="5"/>
      <c r="L49" s="5"/>
      <c r="M49" s="5"/>
    </row>
    <row r="50" spans="1:13" ht="12.75" customHeight="1">
      <c r="A50" s="80" t="s">
        <v>190</v>
      </c>
      <c r="B50" s="516"/>
      <c r="C50" s="68" t="s">
        <v>198</v>
      </c>
      <c r="D50" s="380">
        <f>($H$24)</f>
        <v>0</v>
      </c>
      <c r="E50" s="134" t="s">
        <v>211</v>
      </c>
      <c r="F50" s="1" t="s">
        <v>189</v>
      </c>
      <c r="G50" s="38" t="s">
        <v>198</v>
      </c>
      <c r="H50" s="376">
        <f>($H$24)</f>
        <v>0</v>
      </c>
      <c r="I50" s="5"/>
      <c r="J50" s="5"/>
      <c r="K50" s="5"/>
      <c r="L50" s="5"/>
      <c r="M50" s="5"/>
    </row>
    <row r="51" spans="1:13" ht="12.75" customHeight="1">
      <c r="A51" s="223" t="s">
        <v>191</v>
      </c>
      <c r="B51" s="515" t="str">
        <f>($G$29)</f>
        <v/>
      </c>
      <c r="C51" s="33" t="s">
        <v>198</v>
      </c>
      <c r="D51" s="376">
        <f>($H$29)</f>
        <v>0</v>
      </c>
      <c r="E51" s="134" t="s">
        <v>208</v>
      </c>
      <c r="F51" s="1" t="s">
        <v>194</v>
      </c>
      <c r="G51" s="38" t="s">
        <v>198</v>
      </c>
      <c r="H51" s="376">
        <f>($H$32)</f>
        <v>0</v>
      </c>
      <c r="I51" s="5"/>
      <c r="J51" s="5"/>
      <c r="K51" s="5"/>
      <c r="L51" s="5"/>
      <c r="M51" s="5"/>
    </row>
    <row r="52" spans="1:13" ht="12.75" customHeight="1">
      <c r="A52" s="223" t="s">
        <v>192</v>
      </c>
      <c r="B52" s="515" t="str">
        <f>($G$30)</f>
        <v/>
      </c>
      <c r="C52" s="33" t="s">
        <v>198</v>
      </c>
      <c r="D52" s="376">
        <f>($H$30)</f>
        <v>0</v>
      </c>
      <c r="E52" s="134" t="s">
        <v>212</v>
      </c>
      <c r="F52" s="1" t="s">
        <v>204</v>
      </c>
      <c r="G52" s="38" t="s">
        <v>198</v>
      </c>
      <c r="H52" s="376">
        <f>ROUND(SUM(PBW_NoInflation!$H$169,PBW_NoInflation!$E$150:$E$156),-3)</f>
        <v>0</v>
      </c>
      <c r="I52" s="5"/>
      <c r="J52" s="5"/>
      <c r="K52" s="5"/>
      <c r="L52" s="5"/>
      <c r="M52" s="5"/>
    </row>
    <row r="53" spans="1:13" ht="12.75" customHeight="1">
      <c r="A53" s="80" t="s">
        <v>193</v>
      </c>
      <c r="B53" s="516"/>
      <c r="C53" s="68" t="s">
        <v>198</v>
      </c>
      <c r="D53" s="380">
        <f>($H$28)</f>
        <v>0</v>
      </c>
      <c r="E53" s="134"/>
      <c r="F53" s="1" t="s">
        <v>213</v>
      </c>
      <c r="G53" s="38" t="s">
        <v>198</v>
      </c>
      <c r="H53" s="376">
        <f>(PBW_Summary!$H$54-PBW_Summary_NoInflation!$H$54)</f>
        <v>0</v>
      </c>
      <c r="I53" s="5"/>
      <c r="J53" s="5"/>
      <c r="K53" s="5"/>
      <c r="L53" s="5"/>
      <c r="M53" s="5"/>
    </row>
    <row r="54" spans="1:13" ht="12.75" customHeight="1">
      <c r="A54" s="223" t="s">
        <v>194</v>
      </c>
      <c r="B54" s="515" t="str">
        <f>($G$32)</f>
        <v/>
      </c>
      <c r="C54" s="33" t="s">
        <v>198</v>
      </c>
      <c r="D54" s="376">
        <f>($H$32)</f>
        <v>0</v>
      </c>
      <c r="E54" s="134"/>
      <c r="F54" s="2" t="s">
        <v>205</v>
      </c>
      <c r="G54" s="34" t="s">
        <v>198</v>
      </c>
      <c r="H54" s="380">
        <f>($H$40)</f>
        <v>0</v>
      </c>
      <c r="I54" s="5"/>
      <c r="J54" s="5"/>
      <c r="K54" s="5"/>
      <c r="L54" s="5"/>
      <c r="M54" s="5"/>
    </row>
    <row r="55" spans="1:13" ht="13">
      <c r="A55" s="223" t="s">
        <v>195</v>
      </c>
      <c r="B55" s="515" t="str">
        <f>($G$34)</f>
        <v/>
      </c>
      <c r="C55" s="33" t="s">
        <v>198</v>
      </c>
      <c r="D55" s="376">
        <f>($H$34)</f>
        <v>0</v>
      </c>
      <c r="E55" s="5"/>
      <c r="F55" s="12"/>
      <c r="G55" s="5"/>
      <c r="H55" s="5"/>
      <c r="I55" s="5"/>
      <c r="J55" s="5"/>
      <c r="K55" s="5"/>
      <c r="L55" s="5"/>
      <c r="M55" s="5"/>
    </row>
    <row r="56" spans="1:13" ht="13">
      <c r="A56" s="223" t="s">
        <v>196</v>
      </c>
      <c r="B56" s="515" t="str">
        <f>($G$36)</f>
        <v/>
      </c>
      <c r="C56" s="33" t="s">
        <v>198</v>
      </c>
      <c r="D56" s="376">
        <f>($H$36)</f>
        <v>0</v>
      </c>
      <c r="E56" s="5"/>
      <c r="F56" s="12"/>
      <c r="G56" s="5"/>
      <c r="H56" s="5"/>
      <c r="I56" s="5"/>
      <c r="J56" s="5"/>
      <c r="K56" s="5"/>
      <c r="L56" s="5"/>
      <c r="M56" s="5"/>
    </row>
    <row r="57" spans="1:13" ht="13">
      <c r="A57" s="80" t="s">
        <v>197</v>
      </c>
      <c r="B57" s="516"/>
      <c r="C57" s="68" t="s">
        <v>198</v>
      </c>
      <c r="D57" s="380">
        <f>($H$40)</f>
        <v>0</v>
      </c>
      <c r="E57" s="5"/>
      <c r="F57" s="12"/>
      <c r="G57" s="5"/>
      <c r="H57" s="5"/>
      <c r="I57" s="5"/>
      <c r="J57" s="5"/>
      <c r="K57" s="5"/>
      <c r="L57" s="5"/>
      <c r="M57" s="5"/>
    </row>
    <row r="58" spans="1:13">
      <c r="I58" s="5"/>
      <c r="J58" s="5"/>
      <c r="K58" s="5"/>
      <c r="L58" s="5"/>
      <c r="M58" s="5"/>
    </row>
    <row r="59" spans="1:13">
      <c r="I59" s="5"/>
      <c r="J59" s="5"/>
      <c r="K59" s="5"/>
      <c r="L59" s="5"/>
      <c r="M59" s="5"/>
    </row>
  </sheetData>
  <sheetProtection algorithmName="SHA-512" hashValue="X1IQjNLxWFVMfkTDXx1prV9uX86chZ3nWI/ANihPj3lMW2VA9toXwzQ2K/YZGWSxEyvxPe2it9/tPAQUHuRkZg==" saltValue="oaFzY/o47nGkUCN8I1WoWg==" spinCount="100000" sheet="1" objects="1" scenarios="1"/>
  <mergeCells count="5">
    <mergeCell ref="A46:D46"/>
    <mergeCell ref="F46:H46"/>
    <mergeCell ref="B3:E3"/>
    <mergeCell ref="B4:E4"/>
    <mergeCell ref="B6:E6"/>
  </mergeCells>
  <printOptions horizontalCentered="1"/>
  <pageMargins left="0.25" right="0.25" top="0.5" bottom="0.5" header="0.25" footer="0.25"/>
  <pageSetup orientation="portrait" horizontalDpi="4294967292" verticalDpi="4294967292" r:id="rId1"/>
  <headerFooter>
    <oddFooter>&amp;L&amp;"Arial Narrow,Regular"&amp;8&amp;K000000&amp;D&amp;C&amp;"Arial Narrow,Regular"&amp;8&amp;K000000PBW Summary&amp;R&amp;"Arial Narrow,Regular"&amp;8&amp;K000000page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42572-A207-E343-9FB9-997E02A7F6CB}">
  <sheetPr codeName="Sheet6">
    <tabColor theme="1" tint="0.249977111117893"/>
  </sheetPr>
  <dimension ref="A1:H191"/>
  <sheetViews>
    <sheetView showGridLines="0" showZeros="0" view="pageLayout" zoomScaleNormal="100" workbookViewId="0">
      <selection activeCell="B3" sqref="B3:E3"/>
    </sheetView>
  </sheetViews>
  <sheetFormatPr baseColWidth="10" defaultColWidth="9.19921875" defaultRowHeight="12"/>
  <cols>
    <col min="1" max="1" width="20" customWidth="1"/>
    <col min="2" max="2" width="18" customWidth="1"/>
    <col min="3" max="3" width="11.796875" customWidth="1"/>
    <col min="4" max="4" width="13.59765625" customWidth="1"/>
    <col min="5" max="5" width="11.796875" customWidth="1"/>
    <col min="6" max="6" width="10" customWidth="1"/>
    <col min="7" max="8" width="13.59765625" customWidth="1"/>
  </cols>
  <sheetData>
    <row r="1" spans="1:8" ht="13">
      <c r="A1" s="231" t="s">
        <v>20</v>
      </c>
      <c r="B1" s="232"/>
      <c r="C1" s="232"/>
      <c r="D1" s="232"/>
      <c r="E1" s="232"/>
      <c r="F1" s="232"/>
      <c r="G1" s="232"/>
      <c r="H1" s="233" t="str">
        <f>"PROJECT BUDGET WORKSHEET (NO INFLATION)"&amp;" "&amp;VERSION</f>
        <v>PROJECT BUDGET WORKSHEET (NO INFLATION) Rev. 2023-03</v>
      </c>
    </row>
    <row r="2" spans="1:8" ht="6" customHeight="1">
      <c r="A2" s="5"/>
      <c r="B2" s="5"/>
      <c r="C2" s="5"/>
      <c r="D2" s="5"/>
      <c r="E2" s="5"/>
      <c r="F2" s="1" t="s">
        <v>21</v>
      </c>
      <c r="G2" s="5"/>
      <c r="H2" s="5"/>
    </row>
    <row r="3" spans="1:8">
      <c r="A3" s="2" t="s">
        <v>22</v>
      </c>
      <c r="B3" s="548" t="str">
        <f>UPPER(IF(ISBLANK(PBW!B3),"",PBW!B3))</f>
        <v>X</v>
      </c>
      <c r="C3" s="548"/>
      <c r="D3" s="548"/>
      <c r="E3" s="548"/>
      <c r="F3" s="1" t="s">
        <v>174</v>
      </c>
      <c r="G3" s="5"/>
      <c r="H3" s="234">
        <f ca="1">IF(ISBLANK(PBW!H3),"",PBW!H3)</f>
        <v>44986.704273263887</v>
      </c>
    </row>
    <row r="4" spans="1:8">
      <c r="A4" s="2" t="s">
        <v>102</v>
      </c>
      <c r="B4" s="549" t="str">
        <f>UPPER(IF(ISBLANK(PBW!B4),"",PBW!B4))</f>
        <v>X</v>
      </c>
      <c r="C4" s="549"/>
      <c r="D4" s="549"/>
      <c r="E4" s="549"/>
      <c r="F4" s="1" t="s">
        <v>175</v>
      </c>
      <c r="G4" s="5"/>
      <c r="H4" s="24" t="str">
        <f>UPPER(IF(ISBLANK(PBW!H4),"",PBW!H4))</f>
        <v>XXX</v>
      </c>
    </row>
    <row r="5" spans="1:8">
      <c r="A5" s="11" t="s">
        <v>270</v>
      </c>
      <c r="B5" s="377" t="str">
        <f>UPPER(IF(ISBLANK(PBW!B5),"",PBW!C5))</f>
        <v>UNSPECIFIED</v>
      </c>
      <c r="C5" s="5"/>
      <c r="D5" s="5"/>
      <c r="E5" s="5"/>
      <c r="F5" s="5" t="s">
        <v>53</v>
      </c>
      <c r="G5" s="5"/>
      <c r="H5" s="26" t="str">
        <f>UPPER(IF(ISBLANK(PBW!H5),"",PBW!H5))</f>
        <v>XXX</v>
      </c>
    </row>
    <row r="6" spans="1:8">
      <c r="A6" s="2" t="s">
        <v>103</v>
      </c>
      <c r="B6" s="549" t="str">
        <f>UPPER(IF(ISBLANK(PBW!B6),"",PBW!B6))</f>
        <v>X</v>
      </c>
      <c r="C6" s="549"/>
      <c r="D6" s="549"/>
      <c r="E6" s="549"/>
      <c r="F6" s="2" t="s">
        <v>80</v>
      </c>
      <c r="G6" s="5"/>
      <c r="H6" s="58">
        <f>VALUE($H$179)</f>
        <v>0</v>
      </c>
    </row>
    <row r="7" spans="1:8" ht="6" customHeight="1">
      <c r="A7" s="5"/>
      <c r="B7" s="5"/>
      <c r="C7" s="5"/>
      <c r="D7" s="5"/>
      <c r="E7" s="5"/>
      <c r="F7" s="5"/>
      <c r="G7" s="5"/>
      <c r="H7" s="5"/>
    </row>
    <row r="8" spans="1:8">
      <c r="A8" s="2" t="s">
        <v>24</v>
      </c>
      <c r="B8" s="5"/>
      <c r="C8" s="5"/>
      <c r="D8" s="5"/>
      <c r="E8" s="5"/>
      <c r="F8" s="5"/>
      <c r="G8" s="235" t="s">
        <v>176</v>
      </c>
      <c r="H8" s="207" t="s">
        <v>177</v>
      </c>
    </row>
    <row r="9" spans="1:8">
      <c r="A9" s="1" t="s">
        <v>25</v>
      </c>
      <c r="B9" s="236">
        <f>(PBW!B9)</f>
        <v>0</v>
      </c>
      <c r="C9" s="5"/>
      <c r="D9" s="5"/>
      <c r="E9" s="5"/>
      <c r="F9" s="1" t="s">
        <v>62</v>
      </c>
      <c r="G9" s="445">
        <f>(PBW!$G$9)</f>
        <v>7976.68</v>
      </c>
      <c r="H9" s="237">
        <f>(PBW!H9)</f>
        <v>44927</v>
      </c>
    </row>
    <row r="10" spans="1:8">
      <c r="A10" s="1" t="s">
        <v>26</v>
      </c>
      <c r="B10" s="238">
        <f>(PBW!B10)</f>
        <v>0</v>
      </c>
      <c r="C10" s="74">
        <f>IF(ISERR($B$9/$B$10),0,($B$9/$B$10))</f>
        <v>0</v>
      </c>
      <c r="D10" s="5" t="s">
        <v>58</v>
      </c>
      <c r="E10" s="34" t="str">
        <f>IF($H$10&lt;$H$9,"ERROR!","")</f>
        <v/>
      </c>
      <c r="F10" s="1" t="s">
        <v>249</v>
      </c>
      <c r="G10" s="445">
        <f>(PBW!$G$10)</f>
        <v>14068.091119606019</v>
      </c>
      <c r="H10" s="239">
        <f>(PBW!H10)</f>
        <v>47300</v>
      </c>
    </row>
    <row r="11" spans="1:8">
      <c r="A11" s="1"/>
      <c r="B11" s="3"/>
      <c r="C11" s="4"/>
      <c r="D11" s="5"/>
      <c r="E11" s="5"/>
      <c r="F11" s="1" t="s">
        <v>256</v>
      </c>
      <c r="G11" s="5"/>
      <c r="H11" s="214">
        <f>($G$10/$G$9)</f>
        <v>1.763652436804036</v>
      </c>
    </row>
    <row r="12" spans="1:8">
      <c r="A12" s="2" t="s">
        <v>27</v>
      </c>
      <c r="B12" s="3"/>
      <c r="C12" s="5"/>
      <c r="D12" s="5"/>
      <c r="E12" s="7" t="str">
        <f>IF($H$12&lt;&gt;$H$11,"WARNING! ENR ESCALATION VALUES DO NOT MATCH!","")</f>
        <v/>
      </c>
      <c r="F12" s="1" t="s">
        <v>430</v>
      </c>
      <c r="G12" s="5"/>
      <c r="H12" s="446">
        <f>(PBW!H12)</f>
        <v>1.763652436804036</v>
      </c>
    </row>
    <row r="13" spans="1:8">
      <c r="A13" s="1" t="s">
        <v>29</v>
      </c>
      <c r="B13" s="236">
        <f>(PBW!B13)</f>
        <v>0</v>
      </c>
      <c r="C13" s="5"/>
      <c r="D13" s="5"/>
      <c r="E13" s="5"/>
      <c r="F13" s="1" t="s">
        <v>186</v>
      </c>
      <c r="G13" s="5"/>
      <c r="H13" s="214">
        <f>($H$12-$H$11)</f>
        <v>0</v>
      </c>
    </row>
    <row r="14" spans="1:8">
      <c r="A14" s="1" t="s">
        <v>30</v>
      </c>
      <c r="B14" s="238">
        <f>(PBW!B14)</f>
        <v>0</v>
      </c>
      <c r="C14" s="74">
        <f>IF(ISERR($B$13/$B$14),0,($B$13/$B$14))</f>
        <v>0</v>
      </c>
      <c r="D14" s="5" t="s">
        <v>59</v>
      </c>
      <c r="E14" s="5"/>
      <c r="F14" s="1" t="s">
        <v>173</v>
      </c>
      <c r="G14" s="210" t="str">
        <f>IF(ISBLANK(PBW!G14),"",PBW!G14)</f>
        <v/>
      </c>
      <c r="H14" s="377" t="str">
        <f>IF(ISBLANK(PBW!H14),"",PBW!H14)</f>
        <v/>
      </c>
    </row>
    <row r="15" spans="1:8" ht="6" customHeight="1" thickBot="1">
      <c r="A15" s="10"/>
      <c r="B15" s="10"/>
      <c r="C15" s="10"/>
      <c r="D15" s="10"/>
      <c r="E15" s="10"/>
      <c r="F15" s="10"/>
      <c r="G15" s="10"/>
      <c r="H15" s="10"/>
    </row>
    <row r="16" spans="1:8">
      <c r="A16" s="2" t="s">
        <v>49</v>
      </c>
      <c r="B16" s="11"/>
      <c r="C16" s="5"/>
      <c r="D16" s="5"/>
      <c r="E16" s="5"/>
      <c r="F16" s="5"/>
      <c r="G16" s="12"/>
      <c r="H16" s="5"/>
    </row>
    <row r="17" spans="1:8">
      <c r="A17" s="1" t="s">
        <v>31</v>
      </c>
      <c r="B17" s="12" t="s">
        <v>32</v>
      </c>
      <c r="C17" s="12" t="s">
        <v>33</v>
      </c>
      <c r="D17" s="14" t="s">
        <v>34</v>
      </c>
      <c r="E17" s="12" t="s">
        <v>35</v>
      </c>
      <c r="F17" s="14"/>
      <c r="G17" s="14" t="s">
        <v>1</v>
      </c>
      <c r="H17" s="5"/>
    </row>
    <row r="18" spans="1:8">
      <c r="A18" s="282" t="str">
        <f>IF(ISBLANK(PBW!A18),"",PBW!A18)</f>
        <v>Function</v>
      </c>
      <c r="B18" s="283">
        <f>IF(ISBLANK(PBW!B18),"",PBW!B18)</f>
        <v>0</v>
      </c>
      <c r="C18" s="284">
        <f>IF(ISBLANK(PBW!C18),"",PBW!C18)</f>
        <v>0</v>
      </c>
      <c r="D18" s="285">
        <f>IF($B18&gt;0,ROUND($B18/$C18,-2),0)</f>
        <v>0</v>
      </c>
      <c r="E18" s="286">
        <f>IF(ISBLANK(PBW!E18),"",PBW!E18)</f>
        <v>0</v>
      </c>
      <c r="F18" s="287"/>
      <c r="G18" s="288">
        <f>ROUND($D18*$E18,-2)</f>
        <v>0</v>
      </c>
      <c r="H18" s="5"/>
    </row>
    <row r="19" spans="1:8">
      <c r="A19" s="240" t="str">
        <f>IF(ISBLANK(PBW!A19),"",PBW!A19)</f>
        <v>Function</v>
      </c>
      <c r="B19" s="241">
        <f>IF(ISBLANK(PBW!B19),"",PBW!B19)</f>
        <v>0</v>
      </c>
      <c r="C19" s="242">
        <f>IF(ISBLANK(PBW!C19),"",PBW!C19)</f>
        <v>0</v>
      </c>
      <c r="D19" s="37">
        <f>IF($B19&gt;0,ROUND($B19/$C19,-2),0)</f>
        <v>0</v>
      </c>
      <c r="E19" s="243">
        <f>IF(ISBLANK(PBW!E19),"",PBW!E19)</f>
        <v>0</v>
      </c>
      <c r="F19" s="15"/>
      <c r="G19" s="32">
        <f>ROUND($D19*$E19,-2)</f>
        <v>0</v>
      </c>
      <c r="H19" s="5"/>
    </row>
    <row r="20" spans="1:8">
      <c r="A20" s="240" t="str">
        <f>IF(ISBLANK(PBW!A20),"",PBW!A20)</f>
        <v>Function</v>
      </c>
      <c r="B20" s="241">
        <f>IF(ISBLANK(PBW!B20),"",PBW!B20)</f>
        <v>0</v>
      </c>
      <c r="C20" s="242">
        <f>IF(ISBLANK(PBW!C20),"",PBW!C20)</f>
        <v>0</v>
      </c>
      <c r="D20" s="37">
        <f>IF($B20&gt;0,ROUND($B20/$C20,-2),0)</f>
        <v>0</v>
      </c>
      <c r="E20" s="243">
        <f>IF(ISBLANK(PBW!E20),"",PBW!E20)</f>
        <v>0</v>
      </c>
      <c r="F20" s="15"/>
      <c r="G20" s="32">
        <f>ROUND($D20*$E20,-2)</f>
        <v>0</v>
      </c>
      <c r="H20" s="5"/>
    </row>
    <row r="21" spans="1:8">
      <c r="A21" s="289" t="str">
        <f>IF(ISBLANK(PBW!A21),"",PBW!A21)</f>
        <v>Function</v>
      </c>
      <c r="B21" s="290">
        <f>IF(ISBLANK(PBW!B21),"",PBW!B21)</f>
        <v>0</v>
      </c>
      <c r="C21" s="291">
        <f>IF(ISBLANK(PBW!C21),"",PBW!C21)</f>
        <v>0</v>
      </c>
      <c r="D21" s="292">
        <f t="shared" ref="D21:D22" si="0">IF($B21&gt;0,ROUND($B21/$C21,-2),0)</f>
        <v>0</v>
      </c>
      <c r="E21" s="293">
        <f>IF(ISBLANK(PBW!E21),"",PBW!E21)</f>
        <v>0</v>
      </c>
      <c r="F21" s="294"/>
      <c r="G21" s="228">
        <f t="shared" ref="G21:G22" si="1">ROUND($D21*$E21,-2)</f>
        <v>0</v>
      </c>
      <c r="H21" s="5"/>
    </row>
    <row r="22" spans="1:8">
      <c r="A22" s="240" t="str">
        <f>IF(ISBLANK(PBW!A22),"",PBW!A22)</f>
        <v>Function</v>
      </c>
      <c r="B22" s="241">
        <f>IF(ISBLANK(PBW!B22),"",PBW!B22)</f>
        <v>0</v>
      </c>
      <c r="C22" s="242">
        <f>IF(ISBLANK(PBW!C22),"",PBW!C22)</f>
        <v>0</v>
      </c>
      <c r="D22" s="37">
        <f t="shared" si="0"/>
        <v>0</v>
      </c>
      <c r="E22" s="243">
        <f>IF(ISBLANK(PBW!E22),"",PBW!E22)</f>
        <v>0</v>
      </c>
      <c r="F22" s="15"/>
      <c r="G22" s="32">
        <f t="shared" si="1"/>
        <v>0</v>
      </c>
      <c r="H22" s="5"/>
    </row>
    <row r="23" spans="1:8">
      <c r="A23" s="240" t="str">
        <f>IF(ISBLANK(PBW!A23),"",PBW!A23)</f>
        <v>Function</v>
      </c>
      <c r="B23" s="241">
        <f>IF(ISBLANK(PBW!B23),"",PBW!B23)</f>
        <v>0</v>
      </c>
      <c r="C23" s="242">
        <f>IF(ISBLANK(PBW!C23),"",PBW!C23)</f>
        <v>0</v>
      </c>
      <c r="D23" s="37">
        <f>IF($B23&gt;0,ROUND($B23/$C23,-2),0)</f>
        <v>0</v>
      </c>
      <c r="E23" s="243">
        <f>IF(ISBLANK(PBW!E23),"",PBW!E23)</f>
        <v>0</v>
      </c>
      <c r="F23" s="15"/>
      <c r="G23" s="32">
        <f>ROUND($D23*$E23,-2)</f>
        <v>0</v>
      </c>
      <c r="H23" s="5"/>
    </row>
    <row r="24" spans="1:8">
      <c r="A24" s="295" t="str">
        <f>IF(ISBLANK(PBW!A24),"",PBW!A24)</f>
        <v>Function</v>
      </c>
      <c r="B24" s="296">
        <f>IF(ISBLANK(PBW!B24),"",PBW!B24)</f>
        <v>0</v>
      </c>
      <c r="C24" s="297">
        <f>IF(ISBLANK(PBW!C24),"",PBW!C24)</f>
        <v>0</v>
      </c>
      <c r="D24" s="285">
        <f>IF($B24&gt;0,ROUND($B24/$C24,-2),0)</f>
        <v>0</v>
      </c>
      <c r="E24" s="298">
        <f>IF(ISBLANK(PBW!E24),"",PBW!E24)</f>
        <v>0</v>
      </c>
      <c r="F24" s="287"/>
      <c r="G24" s="288">
        <f>ROUND($D24*$E24,-2)</f>
        <v>0</v>
      </c>
      <c r="H24" s="5"/>
    </row>
    <row r="25" spans="1:8">
      <c r="A25" s="5"/>
      <c r="B25" s="28">
        <f>SUM(B$18:B$24)</f>
        <v>0</v>
      </c>
      <c r="C25" s="3"/>
      <c r="D25" s="28">
        <f>SUM(D$18:D$24)</f>
        <v>0</v>
      </c>
      <c r="E25" s="32"/>
      <c r="F25" s="1" t="s">
        <v>36</v>
      </c>
      <c r="G25" s="32">
        <f>ROUND(SUM(G$18:G$24),-3)</f>
        <v>0</v>
      </c>
      <c r="H25" s="5"/>
    </row>
    <row r="26" spans="1:8">
      <c r="A26" s="5" t="s">
        <v>139</v>
      </c>
      <c r="B26" s="3"/>
      <c r="C26" s="3"/>
      <c r="D26" s="3"/>
      <c r="E26" s="3"/>
      <c r="F26" s="1"/>
      <c r="G26" s="3"/>
      <c r="H26" s="132">
        <f>($G$25)</f>
        <v>0</v>
      </c>
    </row>
    <row r="27" spans="1:8" ht="6" customHeight="1">
      <c r="A27" s="5"/>
      <c r="B27" s="3"/>
      <c r="C27" s="3"/>
      <c r="D27" s="3"/>
      <c r="E27" s="3"/>
      <c r="F27" s="1"/>
      <c r="G27" s="3"/>
      <c r="H27" s="16"/>
    </row>
    <row r="28" spans="1:8">
      <c r="A28" s="2" t="s">
        <v>50</v>
      </c>
      <c r="B28" s="11"/>
      <c r="C28" s="5"/>
      <c r="D28" s="5"/>
      <c r="E28" s="5"/>
      <c r="F28" s="5"/>
      <c r="G28" s="12"/>
      <c r="H28" s="5"/>
    </row>
    <row r="29" spans="1:8">
      <c r="A29" s="1" t="s">
        <v>31</v>
      </c>
      <c r="B29" s="12" t="s">
        <v>32</v>
      </c>
      <c r="C29" s="12" t="s">
        <v>33</v>
      </c>
      <c r="D29" s="14" t="s">
        <v>34</v>
      </c>
      <c r="E29" s="12" t="s">
        <v>35</v>
      </c>
      <c r="F29" s="14"/>
      <c r="G29" s="14" t="s">
        <v>1</v>
      </c>
      <c r="H29" s="5"/>
    </row>
    <row r="30" spans="1:8">
      <c r="A30" s="282" t="str">
        <f>IF(ISBLANK(PBW!A30),"",PBW!A30)</f>
        <v>Function</v>
      </c>
      <c r="B30" s="283">
        <f>IF(ISBLANK(PBW!B30),"",PBW!B30)</f>
        <v>0</v>
      </c>
      <c r="C30" s="284">
        <f>IF(ISBLANK(PBW!C30),"",PBW!C30)</f>
        <v>0</v>
      </c>
      <c r="D30" s="285">
        <f>IF($B30&gt;0,ROUND($B30/$C30,-2),0)</f>
        <v>0</v>
      </c>
      <c r="E30" s="286">
        <f>IF(ISBLANK(PBW!E30),"",PBW!E30)</f>
        <v>0</v>
      </c>
      <c r="F30" s="287"/>
      <c r="G30" s="288">
        <f>ROUND($D30*$E30,-2)</f>
        <v>0</v>
      </c>
      <c r="H30" s="5"/>
    </row>
    <row r="31" spans="1:8">
      <c r="A31" s="240" t="str">
        <f>IF(ISBLANK(PBW!A31),"",PBW!A31)</f>
        <v>Function</v>
      </c>
      <c r="B31" s="241">
        <f>IF(ISBLANK(PBW!B31),"",PBW!B31)</f>
        <v>0</v>
      </c>
      <c r="C31" s="242">
        <f>IF(ISBLANK(PBW!C31),"",PBW!C31)</f>
        <v>0</v>
      </c>
      <c r="D31" s="37">
        <f>IF($B31&gt;0,ROUND($B31/$C31,-2),0)</f>
        <v>0</v>
      </c>
      <c r="E31" s="243">
        <f>IF(ISBLANK(PBW!E31),"",PBW!E31)</f>
        <v>0</v>
      </c>
      <c r="F31" s="15"/>
      <c r="G31" s="32">
        <f>ROUND($D31*$E31,-2)</f>
        <v>0</v>
      </c>
      <c r="H31" s="5"/>
    </row>
    <row r="32" spans="1:8">
      <c r="A32" s="240" t="str">
        <f>IF(ISBLANK(PBW!A32),"",PBW!A32)</f>
        <v>Function</v>
      </c>
      <c r="B32" s="241">
        <f>IF(ISBLANK(PBW!B32),"",PBW!B32)</f>
        <v>0</v>
      </c>
      <c r="C32" s="242">
        <f>IF(ISBLANK(PBW!C32),"",PBW!C32)</f>
        <v>0</v>
      </c>
      <c r="D32" s="37">
        <f t="shared" ref="D32:D35" si="2">IF($B32&gt;0,ROUND($B32/$C32,-2),0)</f>
        <v>0</v>
      </c>
      <c r="E32" s="243">
        <f>IF(ISBLANK(PBW!E32),"",PBW!E32)</f>
        <v>0</v>
      </c>
      <c r="F32" s="15"/>
      <c r="G32" s="32">
        <f t="shared" ref="G32:G35" si="3">ROUND($D32*$E32,-2)</f>
        <v>0</v>
      </c>
      <c r="H32" s="5"/>
    </row>
    <row r="33" spans="1:8">
      <c r="A33" s="240" t="str">
        <f>IF(ISBLANK(PBW!A33),"",PBW!A33)</f>
        <v>Function</v>
      </c>
      <c r="B33" s="241">
        <f>IF(ISBLANK(PBW!B33),"",PBW!B33)</f>
        <v>0</v>
      </c>
      <c r="C33" s="242">
        <f>IF(ISBLANK(PBW!C33),"",PBW!C33)</f>
        <v>0</v>
      </c>
      <c r="D33" s="37">
        <f t="shared" si="2"/>
        <v>0</v>
      </c>
      <c r="E33" s="243">
        <f>IF(ISBLANK(PBW!E33),"",PBW!E33)</f>
        <v>0</v>
      </c>
      <c r="F33" s="15"/>
      <c r="G33" s="32">
        <f t="shared" si="3"/>
        <v>0</v>
      </c>
      <c r="H33" s="5"/>
    </row>
    <row r="34" spans="1:8">
      <c r="A34" s="289" t="str">
        <f>IF(ISBLANK(PBW!A34),"",PBW!A34)</f>
        <v>Function</v>
      </c>
      <c r="B34" s="290">
        <f>IF(ISBLANK(PBW!B34),"",PBW!B34)</f>
        <v>0</v>
      </c>
      <c r="C34" s="291">
        <f>IF(ISBLANK(PBW!C34),"",PBW!C34)</f>
        <v>0</v>
      </c>
      <c r="D34" s="292">
        <f t="shared" si="2"/>
        <v>0</v>
      </c>
      <c r="E34" s="293">
        <f>IF(ISBLANK(PBW!E34),"",PBW!E34)</f>
        <v>0</v>
      </c>
      <c r="F34" s="294"/>
      <c r="G34" s="228">
        <f t="shared" si="3"/>
        <v>0</v>
      </c>
      <c r="H34" s="5"/>
    </row>
    <row r="35" spans="1:8">
      <c r="A35" s="240" t="str">
        <f>IF(ISBLANK(PBW!A35),"",PBW!A35)</f>
        <v>Function</v>
      </c>
      <c r="B35" s="241">
        <f>IF(ISBLANK(PBW!B35),"",PBW!B35)</f>
        <v>0</v>
      </c>
      <c r="C35" s="242">
        <f>IF(ISBLANK(PBW!C35),"",PBW!C35)</f>
        <v>0</v>
      </c>
      <c r="D35" s="37">
        <f t="shared" si="2"/>
        <v>0</v>
      </c>
      <c r="E35" s="243">
        <f>IF(ISBLANK(PBW!E35),"",PBW!E35)</f>
        <v>0</v>
      </c>
      <c r="F35" s="15"/>
      <c r="G35" s="32">
        <f t="shared" si="3"/>
        <v>0</v>
      </c>
      <c r="H35" s="5"/>
    </row>
    <row r="36" spans="1:8">
      <c r="A36" s="240" t="str">
        <f>IF(ISBLANK(PBW!A36),"",PBW!A36)</f>
        <v>Function</v>
      </c>
      <c r="B36" s="241">
        <f>IF(ISBLANK(PBW!B36),"",PBW!B36)</f>
        <v>0</v>
      </c>
      <c r="C36" s="242">
        <f>IF(ISBLANK(PBW!C36),"",PBW!C36)</f>
        <v>0</v>
      </c>
      <c r="D36" s="37">
        <f>IF($B36&gt;0,ROUND($B36/$C36,-2),0)</f>
        <v>0</v>
      </c>
      <c r="E36" s="243">
        <f>IF(ISBLANK(PBW!E36),"",PBW!E36)</f>
        <v>0</v>
      </c>
      <c r="F36" s="15"/>
      <c r="G36" s="32">
        <f>ROUND($D36*$E36,-2)</f>
        <v>0</v>
      </c>
      <c r="H36" s="5"/>
    </row>
    <row r="37" spans="1:8">
      <c r="A37" s="240" t="str">
        <f>IF(ISBLANK(PBW!A37),"",PBW!A37)</f>
        <v>Function</v>
      </c>
      <c r="B37" s="241">
        <f>IF(ISBLANK(PBW!B37),"",PBW!B37)</f>
        <v>0</v>
      </c>
      <c r="C37" s="242">
        <f>IF(ISBLANK(PBW!C37),"",PBW!C37)</f>
        <v>0</v>
      </c>
      <c r="D37" s="37">
        <f>IF($B37&gt;0,ROUND($B37/$C37,-2),0)</f>
        <v>0</v>
      </c>
      <c r="E37" s="243">
        <f>IF(ISBLANK(PBW!E37),"",PBW!E37)</f>
        <v>0</v>
      </c>
      <c r="F37" s="15"/>
      <c r="G37" s="32">
        <f>ROUND($D37*$E37,-2)</f>
        <v>0</v>
      </c>
      <c r="H37" s="5"/>
    </row>
    <row r="38" spans="1:8">
      <c r="A38" s="295" t="str">
        <f>IF(ISBLANK(PBW!A38),"",PBW!A38)</f>
        <v>Function</v>
      </c>
      <c r="B38" s="296">
        <f>IF(ISBLANK(PBW!B38),"",PBW!B38)</f>
        <v>0</v>
      </c>
      <c r="C38" s="297">
        <f>IF(ISBLANK(PBW!C38),"",PBW!C38)</f>
        <v>0</v>
      </c>
      <c r="D38" s="285">
        <f>IF($B38&gt;0,ROUND($B38/$C38,-2),0)</f>
        <v>0</v>
      </c>
      <c r="E38" s="298">
        <f>IF(ISBLANK(PBW!E38),"",PBW!E38)</f>
        <v>0</v>
      </c>
      <c r="F38" s="287"/>
      <c r="G38" s="288">
        <f>ROUND($D38*$E38,-2)</f>
        <v>0</v>
      </c>
      <c r="H38" s="5"/>
    </row>
    <row r="39" spans="1:8">
      <c r="A39" s="5"/>
      <c r="B39" s="28">
        <f>SUM(B$30:B$38)</f>
        <v>0</v>
      </c>
      <c r="C39" s="3"/>
      <c r="D39" s="28">
        <f>SUM(D$30:D$38)</f>
        <v>0</v>
      </c>
      <c r="E39" s="3"/>
      <c r="F39" s="1" t="s">
        <v>36</v>
      </c>
      <c r="G39" s="32">
        <f>ROUND(SUM(G$30:G$38),-3)</f>
        <v>0</v>
      </c>
      <c r="H39" s="132">
        <f>($G$39)</f>
        <v>0</v>
      </c>
    </row>
    <row r="40" spans="1:8">
      <c r="A40" s="11" t="s">
        <v>51</v>
      </c>
      <c r="B40" s="3"/>
      <c r="C40" s="3"/>
      <c r="D40" s="3"/>
      <c r="E40" s="3"/>
      <c r="F40" s="5"/>
      <c r="G40" s="12"/>
      <c r="H40" s="3"/>
    </row>
    <row r="41" spans="1:8">
      <c r="A41" s="13" t="s">
        <v>37</v>
      </c>
      <c r="B41" s="5"/>
      <c r="C41" s="5"/>
      <c r="D41" s="14" t="s">
        <v>34</v>
      </c>
      <c r="E41" s="14" t="s">
        <v>35</v>
      </c>
      <c r="F41" s="14" t="s">
        <v>141</v>
      </c>
      <c r="G41" s="14" t="s">
        <v>0</v>
      </c>
      <c r="H41" s="5"/>
    </row>
    <row r="42" spans="1:8">
      <c r="A42" s="299" t="s">
        <v>38</v>
      </c>
      <c r="B42" s="300" t="s">
        <v>87</v>
      </c>
      <c r="C42" s="301"/>
      <c r="D42" s="301"/>
      <c r="E42" s="301"/>
      <c r="F42" s="301"/>
      <c r="G42" s="301"/>
      <c r="H42" s="5"/>
    </row>
    <row r="43" spans="1:8">
      <c r="A43" s="536" t="s">
        <v>423</v>
      </c>
      <c r="B43" s="549" t="str">
        <f>IF(ISBLANK(PBW!B43),"",PBW!B43)</f>
        <v>X</v>
      </c>
      <c r="C43" s="576">
        <f>(PBW!C43)</f>
        <v>0</v>
      </c>
      <c r="D43" s="244">
        <f>IF(ISBLANK(PBW!D43),"",PBW!D43)</f>
        <v>0</v>
      </c>
      <c r="E43" s="245">
        <f>IF(ISBLANK(PBW!E43),"",PBW!E43)</f>
        <v>16</v>
      </c>
      <c r="F43" s="65">
        <f>ROUNDUP((10*ENR!$S$15),0)</f>
        <v>16</v>
      </c>
      <c r="G43" s="32">
        <f>ROUND($D43*$E43,-2)</f>
        <v>0</v>
      </c>
      <c r="H43" s="45"/>
    </row>
    <row r="44" spans="1:8">
      <c r="A44" s="536" t="s">
        <v>424</v>
      </c>
      <c r="B44" s="549" t="str">
        <f>IF(ISBLANK(PBW!B44),"",PBW!B44)</f>
        <v>X</v>
      </c>
      <c r="C44" s="576">
        <f>(PBW!C44)</f>
        <v>0</v>
      </c>
      <c r="D44" s="246">
        <f>IF(ISBLANK(PBW!D44),"",PBW!D44)</f>
        <v>0</v>
      </c>
      <c r="E44" s="247">
        <f>IF(ISBLANK(PBW!E44),"",PBW!E44)</f>
        <v>56</v>
      </c>
      <c r="F44" s="65">
        <f>ROUNDUP((35*ENR!$S$15),0)</f>
        <v>56</v>
      </c>
      <c r="G44" s="32">
        <f>ROUND($D44*$E44,-2)</f>
        <v>0</v>
      </c>
      <c r="H44" s="5"/>
    </row>
    <row r="45" spans="1:8">
      <c r="A45" s="536" t="s">
        <v>425</v>
      </c>
      <c r="B45" s="549" t="str">
        <f>IF(ISBLANK(PBW!B45),"",PBW!B45)</f>
        <v>X</v>
      </c>
      <c r="C45" s="576">
        <f>(PBW!C45)</f>
        <v>0</v>
      </c>
      <c r="D45" s="246">
        <f>IF(ISBLANK(PBW!D45),"",PBW!D45)</f>
        <v>0</v>
      </c>
      <c r="E45" s="247">
        <f>IF(ISBLANK(PBW!E45),"",PBW!E45)</f>
        <v>92</v>
      </c>
      <c r="F45" s="65">
        <f>ROUNDUP((58.5*ENR!$S$15),0)</f>
        <v>92</v>
      </c>
      <c r="G45" s="32">
        <f>ROUND($D45*$E45,-2)</f>
        <v>0</v>
      </c>
      <c r="H45" s="5"/>
    </row>
    <row r="46" spans="1:8">
      <c r="A46" s="536" t="s">
        <v>426</v>
      </c>
      <c r="B46" s="549" t="str">
        <f>IF(ISBLANK(PBW!B46),"",PBW!B46)</f>
        <v>X</v>
      </c>
      <c r="C46" s="576">
        <f>(PBW!C46)</f>
        <v>0</v>
      </c>
      <c r="D46" s="248">
        <f>IF(ISBLANK(PBW!D46),"",PBW!D46)</f>
        <v>0</v>
      </c>
      <c r="E46" s="249">
        <f>IF(ISBLANK(PBW!E46),"",PBW!E46)</f>
        <v>111</v>
      </c>
      <c r="F46" s="65">
        <f>ROUNDUP((70*ENR!$S$15),0)</f>
        <v>111</v>
      </c>
      <c r="G46" s="32">
        <f>ROUND($D46*$E46,-2)</f>
        <v>0</v>
      </c>
      <c r="H46" s="5"/>
    </row>
    <row r="47" spans="1:8">
      <c r="A47" s="299" t="s">
        <v>43</v>
      </c>
      <c r="B47" s="301"/>
      <c r="C47" s="301"/>
      <c r="D47" s="302"/>
      <c r="E47" s="303"/>
      <c r="F47" s="303"/>
      <c r="G47" s="230"/>
      <c r="H47" s="5"/>
    </row>
    <row r="48" spans="1:8">
      <c r="A48" s="536" t="s">
        <v>424</v>
      </c>
      <c r="B48" s="549" t="str">
        <f>IF(ISBLANK(PBW!B48),"",PBW!B48)</f>
        <v>X</v>
      </c>
      <c r="C48" s="576">
        <f>(PBW!C48)</f>
        <v>0</v>
      </c>
      <c r="D48" s="244">
        <f>IF(ISBLANK(PBW!D48),"",PBW!D48)</f>
        <v>0</v>
      </c>
      <c r="E48" s="245">
        <f>IF(ISBLANK(PBW!E48),"",PBW!E48)</f>
        <v>18</v>
      </c>
      <c r="F48" s="65">
        <f>ROUNDUP((11.25*ENR!$S$15),0)</f>
        <v>18</v>
      </c>
      <c r="G48" s="32">
        <f>ROUND($D48*$E48,-2)</f>
        <v>0</v>
      </c>
      <c r="H48" s="5"/>
    </row>
    <row r="49" spans="1:8">
      <c r="A49" s="536" t="s">
        <v>425</v>
      </c>
      <c r="B49" s="549" t="str">
        <f>IF(ISBLANK(PBW!B49),"",PBW!B49)</f>
        <v>X</v>
      </c>
      <c r="C49" s="576">
        <f>(PBW!C49)</f>
        <v>0</v>
      </c>
      <c r="D49" s="246">
        <f>IF(ISBLANK(PBW!D49),"",PBW!D49)</f>
        <v>0</v>
      </c>
      <c r="E49" s="247">
        <f>IF(ISBLANK(PBW!E49),"",PBW!E49)</f>
        <v>31</v>
      </c>
      <c r="F49" s="65">
        <f>ROUNDUP((19.5*ENR!$S$15),0)</f>
        <v>31</v>
      </c>
      <c r="G49" s="32">
        <f>ROUND($D49*$E49,-2)</f>
        <v>0</v>
      </c>
      <c r="H49" s="5"/>
    </row>
    <row r="50" spans="1:8">
      <c r="A50" s="536" t="s">
        <v>426</v>
      </c>
      <c r="B50" s="549" t="str">
        <f>IF(ISBLANK(PBW!B50),"",PBW!B50)</f>
        <v>X</v>
      </c>
      <c r="C50" s="576">
        <f>(PBW!C50)</f>
        <v>0</v>
      </c>
      <c r="D50" s="246">
        <f>IF(ISBLANK(PBW!D50),"",PBW!D50)</f>
        <v>0</v>
      </c>
      <c r="E50" s="247">
        <f>IF(ISBLANK(PBW!E50),"",PBW!E50)</f>
        <v>35</v>
      </c>
      <c r="F50" s="65">
        <f>ROUNDUP((22*ENR!$S$15),0)</f>
        <v>35</v>
      </c>
      <c r="G50" s="32">
        <f>ROUND($D50*$E50,-2)</f>
        <v>0</v>
      </c>
      <c r="H50" s="5"/>
    </row>
    <row r="51" spans="1:8">
      <c r="A51" s="536" t="s">
        <v>427</v>
      </c>
      <c r="B51" s="549" t="str">
        <f>IF(ISBLANK(PBW!B51),"",PBW!B51)</f>
        <v>X</v>
      </c>
      <c r="C51" s="576">
        <f>(PBW!C51)</f>
        <v>0</v>
      </c>
      <c r="D51" s="248">
        <f>IF(ISBLANK(PBW!D51),"",PBW!D51)</f>
        <v>0</v>
      </c>
      <c r="E51" s="249">
        <f>IF(ISBLANK(PBW!E51),"",PBW!E51)</f>
        <v>66</v>
      </c>
      <c r="F51" s="65">
        <f>ROUNDUP((41.5*ENR!$S$15),0)</f>
        <v>66</v>
      </c>
      <c r="G51" s="32">
        <f>ROUND($D51*$E51,-2)</f>
        <v>0</v>
      </c>
      <c r="H51" s="5"/>
    </row>
    <row r="52" spans="1:8">
      <c r="A52" s="299" t="s">
        <v>428</v>
      </c>
      <c r="B52" s="301"/>
      <c r="C52" s="301"/>
      <c r="D52" s="302"/>
      <c r="E52" s="303"/>
      <c r="F52" s="303"/>
      <c r="G52" s="230"/>
      <c r="H52" s="5"/>
    </row>
    <row r="53" spans="1:8">
      <c r="A53" s="536" t="s">
        <v>424</v>
      </c>
      <c r="B53" s="549" t="str">
        <f>IF(ISBLANK(PBW!B53),"",PBW!B53)</f>
        <v>X</v>
      </c>
      <c r="C53" s="576">
        <f>(PBW!C53)</f>
        <v>0</v>
      </c>
      <c r="D53" s="244">
        <f>IF(ISBLANK(PBW!D53),"",PBW!D53)</f>
        <v>0</v>
      </c>
      <c r="E53" s="245">
        <f>IF(ISBLANK(PBW!E53),"",PBW!E53)</f>
        <v>24</v>
      </c>
      <c r="F53" s="65">
        <f>ROUNDUP((15*ENR!$S$15),0)</f>
        <v>24</v>
      </c>
      <c r="G53" s="32">
        <f>ROUND($D53*$E53,-2)</f>
        <v>0</v>
      </c>
      <c r="H53" s="5"/>
    </row>
    <row r="54" spans="1:8">
      <c r="A54" s="536" t="s">
        <v>425</v>
      </c>
      <c r="B54" s="549" t="str">
        <f>IF(ISBLANK(PBW!B54),"",PBW!B54)</f>
        <v>X</v>
      </c>
      <c r="C54" s="576">
        <f>(PBW!C54)</f>
        <v>0</v>
      </c>
      <c r="D54" s="246">
        <f>IF(ISBLANK(PBW!D54),"",PBW!D54)</f>
        <v>0</v>
      </c>
      <c r="E54" s="247">
        <f>IF(ISBLANK(PBW!E54),"",PBW!E54)</f>
        <v>51</v>
      </c>
      <c r="F54" s="65">
        <f>ROUNDUP((32*ENR!$S$15),0)</f>
        <v>51</v>
      </c>
      <c r="G54" s="32">
        <f>ROUND($D54*$E54,-2)</f>
        <v>0</v>
      </c>
      <c r="H54" s="5"/>
    </row>
    <row r="55" spans="1:8">
      <c r="A55" s="536" t="s">
        <v>426</v>
      </c>
      <c r="B55" s="549" t="str">
        <f>IF(ISBLANK(PBW!B55),"",PBW!B55)</f>
        <v>X</v>
      </c>
      <c r="C55" s="576">
        <f>(PBW!C55)</f>
        <v>0</v>
      </c>
      <c r="D55" s="248">
        <f>IF(ISBLANK(PBW!D55),"",PBW!D55)</f>
        <v>0</v>
      </c>
      <c r="E55" s="249">
        <f>IF(ISBLANK(PBW!E55),"",PBW!E55)</f>
        <v>76</v>
      </c>
      <c r="F55" s="65">
        <f>ROUNDUP((48*ENR!$S$15),0)</f>
        <v>76</v>
      </c>
      <c r="G55" s="32">
        <f>ROUND($D55*$E55,-2)</f>
        <v>0</v>
      </c>
      <c r="H55" s="5"/>
    </row>
    <row r="56" spans="1:8">
      <c r="A56" s="299" t="s">
        <v>429</v>
      </c>
      <c r="B56" s="301"/>
      <c r="C56" s="301"/>
      <c r="D56" s="302"/>
      <c r="E56" s="303"/>
      <c r="F56" s="303"/>
      <c r="G56" s="230"/>
      <c r="H56" s="5"/>
    </row>
    <row r="57" spans="1:8">
      <c r="A57" s="536" t="s">
        <v>424</v>
      </c>
      <c r="B57" s="549" t="str">
        <f>IF(ISBLANK(PBW!B57),"",PBW!B57)</f>
        <v>X</v>
      </c>
      <c r="C57" s="576">
        <f>(PBW!C57)</f>
        <v>0</v>
      </c>
      <c r="D57" s="244">
        <f>IF(ISBLANK(PBW!D57),"",PBW!D57)</f>
        <v>0</v>
      </c>
      <c r="E57" s="245">
        <f>IF(ISBLANK(PBW!E57),"",PBW!E57)</f>
        <v>19</v>
      </c>
      <c r="F57" s="65">
        <f>ROUNDUP((12*ENR!$S$15),0)</f>
        <v>19</v>
      </c>
      <c r="G57" s="32">
        <f>ROUND($D57*$E57,-2)</f>
        <v>0</v>
      </c>
      <c r="H57" s="5"/>
    </row>
    <row r="58" spans="1:8">
      <c r="A58" s="536" t="s">
        <v>425</v>
      </c>
      <c r="B58" s="549" t="str">
        <f>IF(ISBLANK(PBW!B58),"",PBW!B58)</f>
        <v>X</v>
      </c>
      <c r="C58" s="576">
        <f>(PBW!C58)</f>
        <v>0</v>
      </c>
      <c r="D58" s="246">
        <f>IF(ISBLANK(PBW!D58),"",PBW!D58)</f>
        <v>0</v>
      </c>
      <c r="E58" s="247">
        <f>IF(ISBLANK(PBW!E58),"",PBW!E58)</f>
        <v>34</v>
      </c>
      <c r="F58" s="65">
        <f>ROUNDUP((21*ENR!$S$15),0)</f>
        <v>34</v>
      </c>
      <c r="G58" s="32">
        <f>ROUND($D58*$E58,-2)</f>
        <v>0</v>
      </c>
      <c r="H58" s="5"/>
    </row>
    <row r="59" spans="1:8">
      <c r="A59" s="536" t="s">
        <v>426</v>
      </c>
      <c r="B59" s="549" t="str">
        <f>IF(ISBLANK(PBW!B59),"",PBW!B59)</f>
        <v>X</v>
      </c>
      <c r="C59" s="576">
        <f>(PBW!C59)</f>
        <v>0</v>
      </c>
      <c r="D59" s="248">
        <f>IF(ISBLANK(PBW!D59),"",PBW!D59)</f>
        <v>0</v>
      </c>
      <c r="E59" s="249">
        <f>IF(ISBLANK(PBW!E59),"",PBW!E59)</f>
        <v>43</v>
      </c>
      <c r="F59" s="65">
        <f>ROUNDUP((27*ENR!$S$15),0)</f>
        <v>43</v>
      </c>
      <c r="G59" s="32">
        <f>ROUND($D59*$E59,-2)</f>
        <v>0</v>
      </c>
      <c r="H59" s="5"/>
    </row>
    <row r="60" spans="1:8">
      <c r="A60" s="5"/>
      <c r="B60" s="5"/>
      <c r="C60" s="5"/>
      <c r="D60" s="5"/>
      <c r="E60" s="5"/>
      <c r="F60" s="1" t="s">
        <v>36</v>
      </c>
      <c r="G60" s="28">
        <f>ROUND(SUM(G$43:G$46,G$48:G$51,G$53:G$55,G$57:G$59),-3)</f>
        <v>0</v>
      </c>
      <c r="H60" s="5"/>
    </row>
    <row r="61" spans="1:8">
      <c r="A61" s="5" t="s">
        <v>207</v>
      </c>
      <c r="B61" s="5"/>
      <c r="C61" s="5"/>
      <c r="D61" s="5"/>
      <c r="E61" s="5"/>
      <c r="F61" s="1"/>
      <c r="G61" s="250" t="str">
        <f>IF(AND($G$39&gt;0,$G$60&gt;0),"ERROR?","")</f>
        <v/>
      </c>
      <c r="H61" s="132">
        <f>($G$60)</f>
        <v>0</v>
      </c>
    </row>
    <row r="62" spans="1:8" ht="6" customHeight="1" thickBot="1">
      <c r="A62" s="5"/>
      <c r="B62" s="5"/>
      <c r="C62" s="5"/>
      <c r="D62" s="5"/>
      <c r="E62" s="5"/>
      <c r="F62" s="1"/>
      <c r="G62" s="3"/>
      <c r="H62" s="5"/>
    </row>
    <row r="63" spans="1:8" ht="13" thickBot="1">
      <c r="A63" s="304" t="s">
        <v>138</v>
      </c>
      <c r="B63" s="305"/>
      <c r="C63" s="305"/>
      <c r="D63" s="305"/>
      <c r="E63" s="305"/>
      <c r="F63" s="305"/>
      <c r="G63" s="306"/>
      <c r="H63" s="324">
        <f>ROUND(($H$26+$H$39+$H$61),-3)</f>
        <v>0</v>
      </c>
    </row>
    <row r="64" spans="1:8">
      <c r="A64" s="5" t="str">
        <f>A3</f>
        <v xml:space="preserve">PROJECT TITLE:  </v>
      </c>
      <c r="B64" s="11" t="str">
        <f>IF($B$3="","",$B$3)</f>
        <v>X</v>
      </c>
      <c r="C64" s="5"/>
      <c r="D64" s="5"/>
      <c r="E64" s="5"/>
      <c r="F64" s="5"/>
      <c r="G64" s="5"/>
      <c r="H64" s="5"/>
    </row>
    <row r="65" spans="1:8">
      <c r="A65" s="1" t="str">
        <f>((A63)&amp;" (from page 1)")</f>
        <v>NEW CONSTRUCTION &amp; REMODELING COST SUBTOTAL (from page 1)</v>
      </c>
      <c r="B65" s="5"/>
      <c r="C65" s="5"/>
      <c r="D65" s="11"/>
      <c r="E65" s="11"/>
      <c r="F65" s="11"/>
      <c r="G65" s="12"/>
      <c r="H65" s="32">
        <f>VALUE($H$63)</f>
        <v>0</v>
      </c>
    </row>
    <row r="66" spans="1:8">
      <c r="A66" s="2" t="s">
        <v>79</v>
      </c>
      <c r="B66" s="5"/>
      <c r="C66" s="5"/>
      <c r="D66" s="11"/>
      <c r="E66" s="11"/>
      <c r="F66" s="11"/>
      <c r="G66" s="2"/>
      <c r="H66" s="17"/>
    </row>
    <row r="67" spans="1:8" ht="6" customHeight="1">
      <c r="A67" s="5"/>
      <c r="B67" s="5"/>
      <c r="C67" s="5"/>
      <c r="D67" s="5"/>
      <c r="E67" s="5"/>
      <c r="F67" s="5"/>
      <c r="G67" s="5"/>
      <c r="H67" s="5"/>
    </row>
    <row r="68" spans="1:8">
      <c r="A68" s="13" t="s">
        <v>85</v>
      </c>
      <c r="B68" s="563" t="s">
        <v>86</v>
      </c>
      <c r="C68" s="563"/>
      <c r="D68" s="563"/>
      <c r="E68" s="38" t="s">
        <v>63</v>
      </c>
      <c r="F68" s="38" t="s">
        <v>66</v>
      </c>
      <c r="G68" s="38" t="s">
        <v>64</v>
      </c>
      <c r="H68" s="34" t="s">
        <v>65</v>
      </c>
    </row>
    <row r="69" spans="1:8">
      <c r="A69" s="251" t="s">
        <v>82</v>
      </c>
      <c r="B69" s="577" t="s">
        <v>140</v>
      </c>
      <c r="C69" s="577"/>
      <c r="D69" s="577"/>
      <c r="E69" s="252">
        <f>IF(ISBLANK(PBW!E69),"",PBW!E69)</f>
        <v>0</v>
      </c>
      <c r="F69" s="59" t="str">
        <f>IF(ISBLANK(PBW!F69),"",PBW!F69)</f>
        <v>GSF</v>
      </c>
      <c r="G69" s="146">
        <f>IF(ISBLANK(PBW!G69),"",PBW!G69)</f>
        <v>19.8000963112143</v>
      </c>
      <c r="H69" s="133">
        <f>ROUND(($E69*$G69),-3)</f>
        <v>0</v>
      </c>
    </row>
    <row r="70" spans="1:8">
      <c r="A70" s="251"/>
      <c r="B70" s="253"/>
      <c r="C70" s="253"/>
      <c r="D70" s="253"/>
      <c r="E70" s="254"/>
      <c r="F70" s="1"/>
      <c r="G70" s="32"/>
      <c r="H70" s="28"/>
    </row>
    <row r="71" spans="1:8">
      <c r="A71" s="578" t="s">
        <v>156</v>
      </c>
      <c r="B71" s="579"/>
      <c r="C71" s="579"/>
      <c r="D71" s="579"/>
      <c r="E71" s="579"/>
      <c r="F71" s="579"/>
      <c r="G71" s="580"/>
      <c r="H71" s="60"/>
    </row>
    <row r="72" spans="1:8">
      <c r="A72" s="255" t="str">
        <f>IF(ISBLANK(PBW!A72),"",PBW!A72)</f>
        <v/>
      </c>
      <c r="B72" s="577" t="str">
        <f>IF(ISBLANK(PBW!B72),"",PBW!B72)</f>
        <v/>
      </c>
      <c r="C72" s="577"/>
      <c r="D72" s="577"/>
      <c r="E72" s="256">
        <f>(PBW!E72)</f>
        <v>0</v>
      </c>
      <c r="F72" s="257" t="str">
        <f>IF(ISBLANK(PBW!F72),"",PBW!F72)</f>
        <v/>
      </c>
      <c r="G72" s="258">
        <f>(PBW!G72)</f>
        <v>0</v>
      </c>
      <c r="H72" s="60">
        <f t="shared" ref="H72:H105" si="4">ROUND(($E72*$G72),-2)</f>
        <v>0</v>
      </c>
    </row>
    <row r="73" spans="1:8">
      <c r="A73" s="259" t="str">
        <f>IF(ISBLANK(PBW!A73),"",PBW!A73)</f>
        <v/>
      </c>
      <c r="B73" s="577" t="str">
        <f>IF(ISBLANK(PBW!B73),"",PBW!B73)</f>
        <v/>
      </c>
      <c r="C73" s="577"/>
      <c r="D73" s="577"/>
      <c r="E73" s="256">
        <f>(PBW!E73)</f>
        <v>0</v>
      </c>
      <c r="F73" s="257" t="str">
        <f>IF(ISBLANK(PBW!F73),"",PBW!F73)</f>
        <v/>
      </c>
      <c r="G73" s="258">
        <f>(PBW!G73)</f>
        <v>0</v>
      </c>
      <c r="H73" s="60">
        <f t="shared" si="4"/>
        <v>0</v>
      </c>
    </row>
    <row r="74" spans="1:8">
      <c r="A74" s="260" t="str">
        <f>IF(ISBLANK(PBW!A74),"",PBW!A74)</f>
        <v/>
      </c>
      <c r="B74" s="577" t="str">
        <f>IF(ISBLANK(PBW!B74),"",PBW!B74)</f>
        <v/>
      </c>
      <c r="C74" s="577"/>
      <c r="D74" s="577"/>
      <c r="E74" s="256">
        <f>(PBW!E74)</f>
        <v>0</v>
      </c>
      <c r="F74" s="257" t="str">
        <f>IF(ISBLANK(PBW!F74),"",PBW!F74)</f>
        <v/>
      </c>
      <c r="G74" s="258">
        <f>(PBW!G74)</f>
        <v>0</v>
      </c>
      <c r="H74" s="60">
        <f t="shared" si="4"/>
        <v>0</v>
      </c>
    </row>
    <row r="75" spans="1:8">
      <c r="A75" s="260" t="str">
        <f>IF(ISBLANK(PBW!A75),"",PBW!A75)</f>
        <v/>
      </c>
      <c r="B75" s="577" t="str">
        <f>IF(ISBLANK(PBW!B75),"",PBW!B75)</f>
        <v/>
      </c>
      <c r="C75" s="577"/>
      <c r="D75" s="577"/>
      <c r="E75" s="256">
        <f>(PBW!E75)</f>
        <v>0</v>
      </c>
      <c r="F75" s="257" t="str">
        <f>IF(ISBLANK(PBW!F75),"",PBW!F75)</f>
        <v/>
      </c>
      <c r="G75" s="258">
        <f>(PBW!G75)</f>
        <v>0</v>
      </c>
      <c r="H75" s="60">
        <f t="shared" si="4"/>
        <v>0</v>
      </c>
    </row>
    <row r="76" spans="1:8">
      <c r="A76" s="307" t="str">
        <f>IF(ISBLANK(PBW!A76),"",PBW!A76)</f>
        <v/>
      </c>
      <c r="B76" s="583" t="str">
        <f>IF(ISBLANK(PBW!B76),"",PBW!B76)</f>
        <v/>
      </c>
      <c r="C76" s="584"/>
      <c r="D76" s="585"/>
      <c r="E76" s="308">
        <f>(PBW!E76)</f>
        <v>0</v>
      </c>
      <c r="F76" s="309" t="str">
        <f>IF(ISBLANK(PBW!F76),"",PBW!F76)</f>
        <v/>
      </c>
      <c r="G76" s="310">
        <f>(PBW!G76)</f>
        <v>0</v>
      </c>
      <c r="H76" s="60">
        <f t="shared" si="4"/>
        <v>0</v>
      </c>
    </row>
    <row r="77" spans="1:8">
      <c r="A77" s="259" t="str">
        <f>IF(ISBLANK(PBW!A77),"",PBW!A77)</f>
        <v/>
      </c>
      <c r="B77" s="581" t="str">
        <f>IF(ISBLANK(PBW!B77),"",PBW!B77)</f>
        <v/>
      </c>
      <c r="C77" s="577"/>
      <c r="D77" s="582"/>
      <c r="E77" s="256">
        <f>(PBW!E77)</f>
        <v>0</v>
      </c>
      <c r="F77" s="257" t="str">
        <f>IF(ISBLANK(PBW!F77),"",PBW!F77)</f>
        <v/>
      </c>
      <c r="G77" s="258">
        <f>(PBW!G77)</f>
        <v>0</v>
      </c>
      <c r="H77" s="60">
        <f t="shared" si="4"/>
        <v>0</v>
      </c>
    </row>
    <row r="78" spans="1:8">
      <c r="A78" s="260" t="str">
        <f>IF(ISBLANK(PBW!A78),"",PBW!A78)</f>
        <v/>
      </c>
      <c r="B78" s="581" t="str">
        <f>IF(ISBLANK(PBW!B78),"",PBW!B78)</f>
        <v/>
      </c>
      <c r="C78" s="577"/>
      <c r="D78" s="582"/>
      <c r="E78" s="256">
        <f>(PBW!E78)</f>
        <v>0</v>
      </c>
      <c r="F78" s="257" t="str">
        <f>IF(ISBLANK(PBW!F78),"",PBW!F78)</f>
        <v/>
      </c>
      <c r="G78" s="258">
        <f>(PBW!G78)</f>
        <v>0</v>
      </c>
      <c r="H78" s="60">
        <f t="shared" si="4"/>
        <v>0</v>
      </c>
    </row>
    <row r="79" spans="1:8">
      <c r="A79" s="259" t="str">
        <f>IF(ISBLANK(PBW!A79),"",PBW!A79)</f>
        <v/>
      </c>
      <c r="B79" s="581" t="str">
        <f>IF(ISBLANK(PBW!B79),"",PBW!B79)</f>
        <v/>
      </c>
      <c r="C79" s="577"/>
      <c r="D79" s="582"/>
      <c r="E79" s="256">
        <f>(PBW!E79)</f>
        <v>0</v>
      </c>
      <c r="F79" s="257" t="str">
        <f>IF(ISBLANK(PBW!F79),"",PBW!F79)</f>
        <v/>
      </c>
      <c r="G79" s="258">
        <f>(PBW!G79)</f>
        <v>0</v>
      </c>
      <c r="H79" s="60">
        <f t="shared" si="4"/>
        <v>0</v>
      </c>
    </row>
    <row r="80" spans="1:8">
      <c r="A80" s="259" t="str">
        <f>IF(ISBLANK(PBW!A80),"",PBW!A80)</f>
        <v/>
      </c>
      <c r="B80" s="581" t="str">
        <f>IF(ISBLANK(PBW!B80),"",PBW!B80)</f>
        <v/>
      </c>
      <c r="C80" s="577"/>
      <c r="D80" s="582"/>
      <c r="E80" s="256">
        <f>(PBW!E80)</f>
        <v>0</v>
      </c>
      <c r="F80" s="257" t="str">
        <f>IF(ISBLANK(PBW!F80),"",PBW!F80)</f>
        <v/>
      </c>
      <c r="G80" s="258">
        <f>(PBW!G80)</f>
        <v>0</v>
      </c>
      <c r="H80" s="60">
        <f t="shared" si="4"/>
        <v>0</v>
      </c>
    </row>
    <row r="81" spans="1:8">
      <c r="A81" s="311" t="str">
        <f>IF(ISBLANK(PBW!A81),"",PBW!A81)</f>
        <v/>
      </c>
      <c r="B81" s="583" t="str">
        <f>IF(ISBLANK(PBW!B81),"",PBW!B81)</f>
        <v/>
      </c>
      <c r="C81" s="584"/>
      <c r="D81" s="585"/>
      <c r="E81" s="308">
        <f>(PBW!E81)</f>
        <v>0</v>
      </c>
      <c r="F81" s="309" t="str">
        <f>IF(ISBLANK(PBW!F81),"",PBW!F81)</f>
        <v/>
      </c>
      <c r="G81" s="310">
        <f>(PBW!G81)</f>
        <v>0</v>
      </c>
      <c r="H81" s="60">
        <f t="shared" si="4"/>
        <v>0</v>
      </c>
    </row>
    <row r="82" spans="1:8">
      <c r="A82" s="260" t="str">
        <f>IF(ISBLANK(PBW!A82),"",PBW!A82)</f>
        <v/>
      </c>
      <c r="B82" s="581" t="str">
        <f>IF(ISBLANK(PBW!B82),"",PBW!B82)</f>
        <v/>
      </c>
      <c r="C82" s="577"/>
      <c r="D82" s="582"/>
      <c r="E82" s="256">
        <f>(PBW!E82)</f>
        <v>0</v>
      </c>
      <c r="F82" s="257" t="str">
        <f>IF(ISBLANK(PBW!F82),"",PBW!F82)</f>
        <v/>
      </c>
      <c r="G82" s="258">
        <f>(PBW!G82)</f>
        <v>0</v>
      </c>
      <c r="H82" s="60">
        <f t="shared" si="4"/>
        <v>0</v>
      </c>
    </row>
    <row r="83" spans="1:8">
      <c r="A83" s="260" t="str">
        <f>IF(ISBLANK(PBW!A83),"",PBW!A83)</f>
        <v/>
      </c>
      <c r="B83" s="581" t="str">
        <f>IF(ISBLANK(PBW!B83),"",PBW!B83)</f>
        <v/>
      </c>
      <c r="C83" s="577"/>
      <c r="D83" s="582"/>
      <c r="E83" s="256">
        <f>(PBW!E83)</f>
        <v>0</v>
      </c>
      <c r="F83" s="257" t="str">
        <f>IF(ISBLANK(PBW!F83),"",PBW!F83)</f>
        <v/>
      </c>
      <c r="G83" s="258">
        <f>(PBW!G83)</f>
        <v>0</v>
      </c>
      <c r="H83" s="60">
        <f t="shared" si="4"/>
        <v>0</v>
      </c>
    </row>
    <row r="84" spans="1:8">
      <c r="A84" s="260" t="str">
        <f>IF(ISBLANK(PBW!A84),"",PBW!A84)</f>
        <v/>
      </c>
      <c r="B84" s="581" t="str">
        <f>IF(ISBLANK(PBW!B84),"",PBW!B84)</f>
        <v/>
      </c>
      <c r="C84" s="577"/>
      <c r="D84" s="582"/>
      <c r="E84" s="256">
        <f>(PBW!E84)</f>
        <v>0</v>
      </c>
      <c r="F84" s="257" t="str">
        <f>IF(ISBLANK(PBW!F84),"",PBW!F84)</f>
        <v/>
      </c>
      <c r="G84" s="258">
        <f>(PBW!G84)</f>
        <v>0</v>
      </c>
      <c r="H84" s="60">
        <f t="shared" si="4"/>
        <v>0</v>
      </c>
    </row>
    <row r="85" spans="1:8">
      <c r="A85" s="260" t="str">
        <f>IF(ISBLANK(PBW!A85),"",PBW!A85)</f>
        <v/>
      </c>
      <c r="B85" s="581" t="str">
        <f>IF(ISBLANK(PBW!B85),"",PBW!B85)</f>
        <v/>
      </c>
      <c r="C85" s="577"/>
      <c r="D85" s="582"/>
      <c r="E85" s="256">
        <f>(PBW!E85)</f>
        <v>0</v>
      </c>
      <c r="F85" s="257" t="str">
        <f>IF(ISBLANK(PBW!F85),"",PBW!F85)</f>
        <v/>
      </c>
      <c r="G85" s="258">
        <f>(PBW!G85)</f>
        <v>0</v>
      </c>
      <c r="H85" s="60">
        <f t="shared" si="4"/>
        <v>0</v>
      </c>
    </row>
    <row r="86" spans="1:8">
      <c r="A86" s="311" t="str">
        <f>IF(ISBLANK(PBW!A86),"",PBW!A86)</f>
        <v/>
      </c>
      <c r="B86" s="583" t="str">
        <f>IF(ISBLANK(PBW!B86),"",PBW!B86)</f>
        <v/>
      </c>
      <c r="C86" s="584"/>
      <c r="D86" s="585"/>
      <c r="E86" s="308">
        <f>(PBW!E86)</f>
        <v>0</v>
      </c>
      <c r="F86" s="309" t="str">
        <f>IF(ISBLANK(PBW!F86),"",PBW!F86)</f>
        <v/>
      </c>
      <c r="G86" s="310">
        <f>(PBW!G86)</f>
        <v>0</v>
      </c>
      <c r="H86" s="60">
        <f t="shared" si="4"/>
        <v>0</v>
      </c>
    </row>
    <row r="87" spans="1:8">
      <c r="A87" s="260" t="str">
        <f>IF(ISBLANK(PBW!A87),"",PBW!A87)</f>
        <v/>
      </c>
      <c r="B87" s="581" t="str">
        <f>IF(ISBLANK(PBW!B87),"",PBW!B87)</f>
        <v/>
      </c>
      <c r="C87" s="577"/>
      <c r="D87" s="582"/>
      <c r="E87" s="256">
        <f>(PBW!E87)</f>
        <v>0</v>
      </c>
      <c r="F87" s="257" t="str">
        <f>IF(ISBLANK(PBW!F87),"",PBW!F87)</f>
        <v/>
      </c>
      <c r="G87" s="258">
        <f>(PBW!G87)</f>
        <v>0</v>
      </c>
      <c r="H87" s="60">
        <f t="shared" si="4"/>
        <v>0</v>
      </c>
    </row>
    <row r="88" spans="1:8">
      <c r="A88" s="260" t="str">
        <f>IF(ISBLANK(PBW!A88),"",PBW!A88)</f>
        <v/>
      </c>
      <c r="B88" s="581" t="str">
        <f>IF(ISBLANK(PBW!B88),"",PBW!B88)</f>
        <v/>
      </c>
      <c r="C88" s="577"/>
      <c r="D88" s="582"/>
      <c r="E88" s="256">
        <f>(PBW!E88)</f>
        <v>0</v>
      </c>
      <c r="F88" s="257" t="str">
        <f>IF(ISBLANK(PBW!F88),"",PBW!F88)</f>
        <v/>
      </c>
      <c r="G88" s="258">
        <f>(PBW!G88)</f>
        <v>0</v>
      </c>
      <c r="H88" s="60">
        <f t="shared" si="4"/>
        <v>0</v>
      </c>
    </row>
    <row r="89" spans="1:8">
      <c r="A89" s="260" t="str">
        <f>IF(ISBLANK(PBW!A89),"",PBW!A89)</f>
        <v/>
      </c>
      <c r="B89" s="581" t="str">
        <f>IF(ISBLANK(PBW!B89),"",PBW!B89)</f>
        <v/>
      </c>
      <c r="C89" s="577"/>
      <c r="D89" s="582"/>
      <c r="E89" s="256">
        <f>(PBW!E89)</f>
        <v>0</v>
      </c>
      <c r="F89" s="257" t="str">
        <f>IF(ISBLANK(PBW!F89),"",PBW!F89)</f>
        <v/>
      </c>
      <c r="G89" s="258">
        <f>(PBW!G89)</f>
        <v>0</v>
      </c>
      <c r="H89" s="60">
        <f t="shared" si="4"/>
        <v>0</v>
      </c>
    </row>
    <row r="90" spans="1:8">
      <c r="A90" s="260" t="str">
        <f>IF(ISBLANK(PBW!A90),"",PBW!A90)</f>
        <v/>
      </c>
      <c r="B90" s="581" t="str">
        <f>IF(ISBLANK(PBW!B90),"",PBW!B90)</f>
        <v/>
      </c>
      <c r="C90" s="577"/>
      <c r="D90" s="582"/>
      <c r="E90" s="256">
        <f>(PBW!E90)</f>
        <v>0</v>
      </c>
      <c r="F90" s="257" t="str">
        <f>IF(ISBLANK(PBW!F90),"",PBW!F90)</f>
        <v/>
      </c>
      <c r="G90" s="258">
        <f>(PBW!G90)</f>
        <v>0</v>
      </c>
      <c r="H90" s="60">
        <f t="shared" si="4"/>
        <v>0</v>
      </c>
    </row>
    <row r="91" spans="1:8">
      <c r="A91" s="311" t="str">
        <f>IF(ISBLANK(PBW!A91),"",PBW!A91)</f>
        <v/>
      </c>
      <c r="B91" s="583" t="str">
        <f>IF(ISBLANK(PBW!B91),"",PBW!B91)</f>
        <v/>
      </c>
      <c r="C91" s="584"/>
      <c r="D91" s="585"/>
      <c r="E91" s="308">
        <f>(PBW!E91)</f>
        <v>0</v>
      </c>
      <c r="F91" s="309" t="str">
        <f>IF(ISBLANK(PBW!F91),"",PBW!F91)</f>
        <v/>
      </c>
      <c r="G91" s="310">
        <f>(PBW!G91)</f>
        <v>0</v>
      </c>
      <c r="H91" s="60">
        <f t="shared" si="4"/>
        <v>0</v>
      </c>
    </row>
    <row r="92" spans="1:8">
      <c r="A92" s="260" t="str">
        <f>IF(ISBLANK(PBW!A92),"",PBW!A92)</f>
        <v/>
      </c>
      <c r="B92" s="581" t="str">
        <f>IF(ISBLANK(PBW!B92),"",PBW!B92)</f>
        <v/>
      </c>
      <c r="C92" s="577"/>
      <c r="D92" s="582"/>
      <c r="E92" s="256">
        <f>(PBW!E92)</f>
        <v>0</v>
      </c>
      <c r="F92" s="257" t="str">
        <f>IF(ISBLANK(PBW!F92),"",PBW!F92)</f>
        <v/>
      </c>
      <c r="G92" s="258">
        <f>(PBW!G92)</f>
        <v>0</v>
      </c>
      <c r="H92" s="60">
        <f t="shared" si="4"/>
        <v>0</v>
      </c>
    </row>
    <row r="93" spans="1:8">
      <c r="A93" s="260" t="str">
        <f>IF(ISBLANK(PBW!A93),"",PBW!A93)</f>
        <v/>
      </c>
      <c r="B93" s="581" t="str">
        <f>IF(ISBLANK(PBW!B93),"",PBW!B93)</f>
        <v/>
      </c>
      <c r="C93" s="577"/>
      <c r="D93" s="582"/>
      <c r="E93" s="256">
        <f>(PBW!E93)</f>
        <v>0</v>
      </c>
      <c r="F93" s="257" t="str">
        <f>IF(ISBLANK(PBW!F93),"",PBW!F93)</f>
        <v/>
      </c>
      <c r="G93" s="258">
        <f>(PBW!G93)</f>
        <v>0</v>
      </c>
      <c r="H93" s="60">
        <f t="shared" si="4"/>
        <v>0</v>
      </c>
    </row>
    <row r="94" spans="1:8">
      <c r="A94" s="260" t="str">
        <f>IF(ISBLANK(PBW!A94),"",PBW!A94)</f>
        <v/>
      </c>
      <c r="B94" s="581" t="str">
        <f>IF(ISBLANK(PBW!B94),"",PBW!B94)</f>
        <v/>
      </c>
      <c r="C94" s="577"/>
      <c r="D94" s="582"/>
      <c r="E94" s="256">
        <f>(PBW!E94)</f>
        <v>0</v>
      </c>
      <c r="F94" s="257" t="str">
        <f>IF(ISBLANK(PBW!F94),"",PBW!F94)</f>
        <v/>
      </c>
      <c r="G94" s="258">
        <f>(PBW!G94)</f>
        <v>0</v>
      </c>
      <c r="H94" s="60">
        <f t="shared" si="4"/>
        <v>0</v>
      </c>
    </row>
    <row r="95" spans="1:8">
      <c r="A95" s="260" t="str">
        <f>IF(ISBLANK(PBW!A95),"",PBW!A95)</f>
        <v/>
      </c>
      <c r="B95" s="581" t="str">
        <f>IF(ISBLANK(PBW!B95),"",PBW!B95)</f>
        <v/>
      </c>
      <c r="C95" s="577"/>
      <c r="D95" s="582"/>
      <c r="E95" s="256">
        <f>(PBW!E95)</f>
        <v>0</v>
      </c>
      <c r="F95" s="257" t="str">
        <f>IF(ISBLANK(PBW!F95),"",PBW!F95)</f>
        <v/>
      </c>
      <c r="G95" s="258">
        <f>(PBW!G95)</f>
        <v>0</v>
      </c>
      <c r="H95" s="60">
        <f t="shared" si="4"/>
        <v>0</v>
      </c>
    </row>
    <row r="96" spans="1:8">
      <c r="A96" s="311" t="str">
        <f>IF(ISBLANK(PBW!A96),"",PBW!A96)</f>
        <v/>
      </c>
      <c r="B96" s="583" t="str">
        <f>IF(ISBLANK(PBW!B96),"",PBW!B96)</f>
        <v/>
      </c>
      <c r="C96" s="584"/>
      <c r="D96" s="585"/>
      <c r="E96" s="308">
        <f>(PBW!E96)</f>
        <v>0</v>
      </c>
      <c r="F96" s="309" t="str">
        <f>IF(ISBLANK(PBW!F96),"",PBW!F96)</f>
        <v/>
      </c>
      <c r="G96" s="310">
        <f>(PBW!G96)</f>
        <v>0</v>
      </c>
      <c r="H96" s="60">
        <f t="shared" si="4"/>
        <v>0</v>
      </c>
    </row>
    <row r="97" spans="1:8">
      <c r="A97" s="260" t="str">
        <f>IF(ISBLANK(PBW!A97),"",PBW!A97)</f>
        <v/>
      </c>
      <c r="B97" s="581" t="str">
        <f>IF(ISBLANK(PBW!B97),"",PBW!B97)</f>
        <v/>
      </c>
      <c r="C97" s="577"/>
      <c r="D97" s="582"/>
      <c r="E97" s="256">
        <f>(PBW!E97)</f>
        <v>0</v>
      </c>
      <c r="F97" s="257" t="str">
        <f>IF(ISBLANK(PBW!F97),"",PBW!F97)</f>
        <v/>
      </c>
      <c r="G97" s="258">
        <f>(PBW!G97)</f>
        <v>0</v>
      </c>
      <c r="H97" s="60">
        <f t="shared" si="4"/>
        <v>0</v>
      </c>
    </row>
    <row r="98" spans="1:8">
      <c r="A98" s="260" t="str">
        <f>IF(ISBLANK(PBW!A98),"",PBW!A98)</f>
        <v/>
      </c>
      <c r="B98" s="581" t="str">
        <f>IF(ISBLANK(PBW!B98),"",PBW!B98)</f>
        <v/>
      </c>
      <c r="C98" s="577"/>
      <c r="D98" s="582"/>
      <c r="E98" s="256">
        <f>(PBW!E98)</f>
        <v>0</v>
      </c>
      <c r="F98" s="257" t="str">
        <f>IF(ISBLANK(PBW!F98),"",PBW!F98)</f>
        <v/>
      </c>
      <c r="G98" s="258">
        <f>(PBW!G98)</f>
        <v>0</v>
      </c>
      <c r="H98" s="60">
        <f t="shared" si="4"/>
        <v>0</v>
      </c>
    </row>
    <row r="99" spans="1:8">
      <c r="A99" s="260" t="str">
        <f>IF(ISBLANK(PBW!A99),"",PBW!A99)</f>
        <v/>
      </c>
      <c r="B99" s="581" t="str">
        <f>IF(ISBLANK(PBW!B99),"",PBW!B99)</f>
        <v/>
      </c>
      <c r="C99" s="577"/>
      <c r="D99" s="582"/>
      <c r="E99" s="256">
        <f>(PBW!E99)</f>
        <v>0</v>
      </c>
      <c r="F99" s="257" t="str">
        <f>IF(ISBLANK(PBW!F99),"",PBW!F99)</f>
        <v/>
      </c>
      <c r="G99" s="258">
        <f>(PBW!G99)</f>
        <v>0</v>
      </c>
      <c r="H99" s="60">
        <f t="shared" si="4"/>
        <v>0</v>
      </c>
    </row>
    <row r="100" spans="1:8">
      <c r="A100" s="260" t="str">
        <f>IF(ISBLANK(PBW!A100),"",PBW!A100)</f>
        <v/>
      </c>
      <c r="B100" s="581" t="str">
        <f>IF(ISBLANK(PBW!B100),"",PBW!B100)</f>
        <v/>
      </c>
      <c r="C100" s="577"/>
      <c r="D100" s="582"/>
      <c r="E100" s="256">
        <f>(PBW!E100)</f>
        <v>0</v>
      </c>
      <c r="F100" s="257" t="str">
        <f>IF(ISBLANK(PBW!F100),"",PBW!F100)</f>
        <v/>
      </c>
      <c r="G100" s="258">
        <f>(PBW!G100)</f>
        <v>0</v>
      </c>
      <c r="H100" s="60">
        <f t="shared" si="4"/>
        <v>0</v>
      </c>
    </row>
    <row r="101" spans="1:8">
      <c r="A101" s="311" t="str">
        <f>IF(ISBLANK(PBW!A101),"",PBW!A101)</f>
        <v/>
      </c>
      <c r="B101" s="583" t="str">
        <f>IF(ISBLANK(PBW!B101),"",PBW!B101)</f>
        <v/>
      </c>
      <c r="C101" s="584"/>
      <c r="D101" s="585"/>
      <c r="E101" s="308">
        <f>(PBW!E101)</f>
        <v>0</v>
      </c>
      <c r="F101" s="309" t="str">
        <f>IF(ISBLANK(PBW!F101),"",PBW!F101)</f>
        <v/>
      </c>
      <c r="G101" s="310">
        <f>(PBW!G101)</f>
        <v>0</v>
      </c>
      <c r="H101" s="60">
        <f t="shared" si="4"/>
        <v>0</v>
      </c>
    </row>
    <row r="102" spans="1:8">
      <c r="A102" s="259" t="str">
        <f>IF(ISBLANK(PBW!A102),"",PBW!A102)</f>
        <v/>
      </c>
      <c r="B102" s="581" t="str">
        <f>IF(ISBLANK(PBW!B102),"",PBW!B102)</f>
        <v/>
      </c>
      <c r="C102" s="577"/>
      <c r="D102" s="582"/>
      <c r="E102" s="256">
        <f>(PBW!E102)</f>
        <v>0</v>
      </c>
      <c r="F102" s="257" t="str">
        <f>IF(ISBLANK(PBW!F102),"",PBW!F102)</f>
        <v/>
      </c>
      <c r="G102" s="258">
        <f>(PBW!G102)</f>
        <v>0</v>
      </c>
      <c r="H102" s="60">
        <f t="shared" si="4"/>
        <v>0</v>
      </c>
    </row>
    <row r="103" spans="1:8">
      <c r="A103" s="259" t="str">
        <f>IF(ISBLANK(PBW!A103),"",PBW!A103)</f>
        <v/>
      </c>
      <c r="B103" s="581" t="str">
        <f>IF(ISBLANK(PBW!B103),"",PBW!B103)</f>
        <v/>
      </c>
      <c r="C103" s="577"/>
      <c r="D103" s="582"/>
      <c r="E103" s="256">
        <f>(PBW!E103)</f>
        <v>0</v>
      </c>
      <c r="F103" s="257" t="str">
        <f>IF(ISBLANK(PBW!F103),"",PBW!F103)</f>
        <v/>
      </c>
      <c r="G103" s="258">
        <f>(PBW!G103)</f>
        <v>0</v>
      </c>
      <c r="H103" s="60">
        <f t="shared" si="4"/>
        <v>0</v>
      </c>
    </row>
    <row r="104" spans="1:8">
      <c r="A104" s="260" t="str">
        <f>IF(ISBLANK(PBW!A104),"",PBW!A104)</f>
        <v/>
      </c>
      <c r="B104" s="581" t="str">
        <f>IF(ISBLANK(PBW!B104),"",PBW!B104)</f>
        <v/>
      </c>
      <c r="C104" s="577"/>
      <c r="D104" s="582"/>
      <c r="E104" s="256">
        <f>(PBW!E104)</f>
        <v>0</v>
      </c>
      <c r="F104" s="257" t="str">
        <f>IF(ISBLANK(PBW!F104),"",PBW!F104)</f>
        <v/>
      </c>
      <c r="G104" s="258">
        <f>(PBW!G104)</f>
        <v>0</v>
      </c>
      <c r="H104" s="60">
        <f t="shared" si="4"/>
        <v>0</v>
      </c>
    </row>
    <row r="105" spans="1:8">
      <c r="A105" s="261" t="str">
        <f>IF(ISBLANK(PBW!A105),"",PBW!A105)</f>
        <v/>
      </c>
      <c r="B105" s="586" t="str">
        <f>IF(ISBLANK(PBW!B105),"",PBW!B105)</f>
        <v/>
      </c>
      <c r="C105" s="587"/>
      <c r="D105" s="588"/>
      <c r="E105" s="262">
        <f>(PBW!E105)</f>
        <v>0</v>
      </c>
      <c r="F105" s="263" t="str">
        <f>IF(ISBLANK(PBW!F105),"",PBW!F105)</f>
        <v/>
      </c>
      <c r="G105" s="264">
        <f>(PBW!G105)</f>
        <v>0</v>
      </c>
      <c r="H105" s="60">
        <f t="shared" si="4"/>
        <v>0</v>
      </c>
    </row>
    <row r="106" spans="1:8">
      <c r="A106" s="565" t="s">
        <v>79</v>
      </c>
      <c r="B106" s="565"/>
      <c r="C106" s="565"/>
      <c r="D106" s="565"/>
      <c r="E106" s="565"/>
      <c r="F106" s="565"/>
      <c r="G106" s="565"/>
      <c r="H106" s="132">
        <f>ROUND(SUM(H$72:H$105),-3)</f>
        <v>0</v>
      </c>
    </row>
    <row r="107" spans="1:8">
      <c r="A107" s="265"/>
      <c r="B107" s="589"/>
      <c r="C107" s="589"/>
      <c r="D107" s="589"/>
      <c r="E107" s="266"/>
      <c r="F107" s="267"/>
      <c r="G107" s="268"/>
      <c r="H107" s="60"/>
    </row>
    <row r="108" spans="1:8">
      <c r="A108" s="578" t="s">
        <v>128</v>
      </c>
      <c r="B108" s="579"/>
      <c r="C108" s="579"/>
      <c r="D108" s="579"/>
      <c r="E108" s="579"/>
      <c r="F108" s="579"/>
      <c r="G108" s="580"/>
      <c r="H108" s="60"/>
    </row>
    <row r="109" spans="1:8">
      <c r="A109" s="255" t="str">
        <f>IF(ISBLANK(PBW!A109),"",PBW!A109)</f>
        <v/>
      </c>
      <c r="B109" s="577" t="str">
        <f>IF(ISBLANK(PBW!B109),"",PBW!B109)</f>
        <v/>
      </c>
      <c r="C109" s="577"/>
      <c r="D109" s="577"/>
      <c r="E109" s="269">
        <f>(PBW!E109)</f>
        <v>0</v>
      </c>
      <c r="F109" s="270" t="str">
        <f>IF(ISBLANK(PBW!F109),"",PBW!F109)</f>
        <v/>
      </c>
      <c r="G109" s="271">
        <f>(PBW!G109)</f>
        <v>0</v>
      </c>
      <c r="H109" s="60">
        <f t="shared" ref="H109:H116" si="5">ROUND(($E109*$G109),-2)</f>
        <v>0</v>
      </c>
    </row>
    <row r="110" spans="1:8">
      <c r="A110" s="255" t="str">
        <f>IF(ISBLANK(PBW!A110),"",PBW!A110)</f>
        <v/>
      </c>
      <c r="B110" s="577" t="str">
        <f>IF(ISBLANK(PBW!B110),"",PBW!B110)</f>
        <v/>
      </c>
      <c r="C110" s="577"/>
      <c r="D110" s="577"/>
      <c r="E110" s="269">
        <f>(PBW!E110)</f>
        <v>0</v>
      </c>
      <c r="F110" s="270" t="str">
        <f>IF(ISBLANK(PBW!F110),"",PBW!F110)</f>
        <v/>
      </c>
      <c r="G110" s="271">
        <f>(PBW!G110)</f>
        <v>0</v>
      </c>
      <c r="H110" s="60">
        <f t="shared" si="5"/>
        <v>0</v>
      </c>
    </row>
    <row r="111" spans="1:8">
      <c r="A111" s="255" t="str">
        <f>IF(ISBLANK(PBW!A111),"",PBW!A111)</f>
        <v/>
      </c>
      <c r="B111" s="581" t="str">
        <f>IF(ISBLANK(PBW!B111),"",PBW!B111)</f>
        <v/>
      </c>
      <c r="C111" s="577"/>
      <c r="D111" s="582"/>
      <c r="E111" s="269">
        <f>(PBW!E111)</f>
        <v>0</v>
      </c>
      <c r="F111" s="270" t="str">
        <f>IF(ISBLANK(PBW!F111),"",PBW!F111)</f>
        <v/>
      </c>
      <c r="G111" s="271">
        <f>(PBW!G111)</f>
        <v>0</v>
      </c>
      <c r="H111" s="60">
        <f t="shared" si="5"/>
        <v>0</v>
      </c>
    </row>
    <row r="112" spans="1:8">
      <c r="A112" s="312" t="str">
        <f>IF(ISBLANK(PBW!A112),"",PBW!A112)</f>
        <v/>
      </c>
      <c r="B112" s="583" t="str">
        <f>IF(ISBLANK(PBW!B112),"",PBW!B112)</f>
        <v/>
      </c>
      <c r="C112" s="584"/>
      <c r="D112" s="585"/>
      <c r="E112" s="313">
        <f>(PBW!E112)</f>
        <v>0</v>
      </c>
      <c r="F112" s="314" t="str">
        <f>IF(ISBLANK(PBW!F112),"",PBW!F112)</f>
        <v/>
      </c>
      <c r="G112" s="315">
        <f>(PBW!G112)</f>
        <v>0</v>
      </c>
      <c r="H112" s="60">
        <f t="shared" si="5"/>
        <v>0</v>
      </c>
    </row>
    <row r="113" spans="1:8">
      <c r="A113" s="255" t="str">
        <f>IF(ISBLANK(PBW!A113),"",PBW!A113)</f>
        <v/>
      </c>
      <c r="B113" s="581" t="str">
        <f>IF(ISBLANK(PBW!B113),"",PBW!B113)</f>
        <v/>
      </c>
      <c r="C113" s="577"/>
      <c r="D113" s="582"/>
      <c r="E113" s="269">
        <f>(PBW!E113)</f>
        <v>0</v>
      </c>
      <c r="F113" s="270" t="str">
        <f>IF(ISBLANK(PBW!F113),"",PBW!F113)</f>
        <v/>
      </c>
      <c r="G113" s="271">
        <f>(PBW!G113)</f>
        <v>0</v>
      </c>
      <c r="H113" s="60">
        <f t="shared" si="5"/>
        <v>0</v>
      </c>
    </row>
    <row r="114" spans="1:8">
      <c r="A114" s="255" t="str">
        <f>IF(ISBLANK(PBW!A114),"",PBW!A114)</f>
        <v/>
      </c>
      <c r="B114" s="577" t="str">
        <f>IF(ISBLANK(PBW!B114),"",PBW!B114)</f>
        <v/>
      </c>
      <c r="C114" s="577"/>
      <c r="D114" s="577"/>
      <c r="E114" s="269">
        <f>(PBW!E114)</f>
        <v>0</v>
      </c>
      <c r="F114" s="270" t="str">
        <f>IF(ISBLANK(PBW!F114),"",PBW!F114)</f>
        <v/>
      </c>
      <c r="G114" s="271">
        <f>(PBW!G114)</f>
        <v>0</v>
      </c>
      <c r="H114" s="60">
        <f t="shared" si="5"/>
        <v>0</v>
      </c>
    </row>
    <row r="115" spans="1:8">
      <c r="A115" s="255" t="str">
        <f>IF(ISBLANK(PBW!A115),"",PBW!A115)</f>
        <v/>
      </c>
      <c r="B115" s="577" t="str">
        <f>IF(ISBLANK(PBW!B115),"",PBW!B115)</f>
        <v/>
      </c>
      <c r="C115" s="577"/>
      <c r="D115" s="577"/>
      <c r="E115" s="269">
        <f>(PBW!E115)</f>
        <v>0</v>
      </c>
      <c r="F115" s="270" t="str">
        <f>IF(ISBLANK(PBW!F115),"",PBW!F115)</f>
        <v/>
      </c>
      <c r="G115" s="271">
        <f>(PBW!G115)</f>
        <v>0</v>
      </c>
      <c r="H115" s="60">
        <f t="shared" si="5"/>
        <v>0</v>
      </c>
    </row>
    <row r="116" spans="1:8">
      <c r="A116" s="316" t="str">
        <f>IF(ISBLANK(PBW!A116),"",PBW!A116)</f>
        <v/>
      </c>
      <c r="B116" s="590" t="str">
        <f>IF(ISBLANK(PBW!B116),"",PBW!B116)</f>
        <v/>
      </c>
      <c r="C116" s="590"/>
      <c r="D116" s="590"/>
      <c r="E116" s="317">
        <f>(PBW!E116)</f>
        <v>0</v>
      </c>
      <c r="F116" s="318" t="str">
        <f>IF(ISBLANK(PBW!F116),"",PBW!F116)</f>
        <v/>
      </c>
      <c r="G116" s="319">
        <f>(PBW!G116)</f>
        <v>0</v>
      </c>
      <c r="H116" s="60">
        <f t="shared" si="5"/>
        <v>0</v>
      </c>
    </row>
    <row r="117" spans="1:8">
      <c r="A117" s="572" t="s">
        <v>133</v>
      </c>
      <c r="B117" s="572"/>
      <c r="C117" s="572"/>
      <c r="D117" s="572"/>
      <c r="E117" s="572"/>
      <c r="F117" s="572"/>
      <c r="G117" s="573"/>
      <c r="H117" s="132">
        <f>ROUND(SUM(H$109:H$116),-3)</f>
        <v>0</v>
      </c>
    </row>
    <row r="118" spans="1:8">
      <c r="A118" s="2"/>
      <c r="B118" s="5"/>
      <c r="C118" s="5"/>
      <c r="D118" s="5"/>
      <c r="E118" s="28"/>
      <c r="F118" s="5"/>
      <c r="G118" s="12"/>
      <c r="H118" s="32"/>
    </row>
    <row r="119" spans="1:8">
      <c r="A119" s="2" t="s">
        <v>136</v>
      </c>
      <c r="B119" s="5"/>
      <c r="C119" s="5"/>
      <c r="D119" s="5"/>
      <c r="E119" s="28"/>
      <c r="F119" s="5"/>
      <c r="G119" s="12"/>
      <c r="H119" s="132">
        <f>SUM($H$69,$H$106,$H$117)</f>
        <v>0</v>
      </c>
    </row>
    <row r="120" spans="1:8" ht="13" thickBot="1">
      <c r="A120" s="5"/>
      <c r="B120" s="5"/>
      <c r="C120" s="5"/>
      <c r="D120" s="5"/>
      <c r="E120" s="5"/>
      <c r="F120" s="5"/>
      <c r="G120" s="5"/>
      <c r="H120" s="3"/>
    </row>
    <row r="121" spans="1:8" ht="13" thickBot="1">
      <c r="A121" s="304" t="s">
        <v>137</v>
      </c>
      <c r="B121" s="305"/>
      <c r="C121" s="305"/>
      <c r="D121" s="305"/>
      <c r="E121" s="305"/>
      <c r="F121" s="304"/>
      <c r="G121" s="306"/>
      <c r="H121" s="324">
        <f>ROUND(SUM($H$65,$H$119),-3)</f>
        <v>0</v>
      </c>
    </row>
    <row r="122" spans="1:8">
      <c r="A122" s="2"/>
      <c r="B122" s="11"/>
      <c r="C122" s="11"/>
      <c r="D122" s="11"/>
      <c r="E122" s="11"/>
      <c r="F122" s="2"/>
      <c r="G122" s="7"/>
      <c r="H122" s="31"/>
    </row>
    <row r="123" spans="1:8">
      <c r="A123" s="1" t="s">
        <v>83</v>
      </c>
      <c r="B123" s="5" t="s">
        <v>84</v>
      </c>
      <c r="C123" s="5"/>
      <c r="D123" s="5"/>
      <c r="E123" s="252">
        <f>(PBW!E123)</f>
        <v>0</v>
      </c>
      <c r="F123" s="59" t="str">
        <f>IF(ISBLANK(PBW!F123),"",PBW!F123)</f>
        <v>SF</v>
      </c>
      <c r="G123" s="146">
        <f>(PBW!G123)</f>
        <v>0</v>
      </c>
      <c r="H123" s="132">
        <f>ROUND(($E123*$G123),-3)</f>
        <v>0</v>
      </c>
    </row>
    <row r="124" spans="1:8">
      <c r="A124" s="2"/>
      <c r="B124" s="11"/>
      <c r="C124" s="11"/>
      <c r="D124" s="11"/>
      <c r="E124" s="11"/>
      <c r="F124" s="2"/>
      <c r="G124" s="7"/>
      <c r="H124" s="31"/>
    </row>
    <row r="125" spans="1:8">
      <c r="A125" s="5" t="str">
        <f>A3</f>
        <v xml:space="preserve">PROJECT TITLE:  </v>
      </c>
      <c r="B125" s="11" t="str">
        <f>IF($B$3="","",$B$3)</f>
        <v>X</v>
      </c>
      <c r="C125" s="5"/>
      <c r="D125" s="5"/>
      <c r="E125" s="5"/>
      <c r="F125" s="5"/>
      <c r="G125" s="5"/>
      <c r="H125" s="5"/>
    </row>
    <row r="126" spans="1:8">
      <c r="A126" s="1" t="str">
        <f>((A$121)&amp;" (from page 2)")</f>
        <v>CONSTRUCTION &amp; REMODELING COST SUBTOTAL (from page 2)</v>
      </c>
      <c r="B126" s="5"/>
      <c r="C126" s="5"/>
      <c r="D126" s="11"/>
      <c r="E126" s="11"/>
      <c r="F126" s="11"/>
      <c r="G126" s="12"/>
      <c r="H126" s="132">
        <f>($H$121)</f>
        <v>0</v>
      </c>
    </row>
    <row r="127" spans="1:8" ht="13" thickBot="1">
      <c r="A127" s="1"/>
      <c r="B127" s="5"/>
      <c r="C127" s="5"/>
      <c r="D127" s="11"/>
      <c r="E127" s="11"/>
      <c r="F127" s="11"/>
      <c r="G127" s="7"/>
      <c r="H127" s="3"/>
    </row>
    <row r="128" spans="1:8" ht="13" thickBot="1">
      <c r="A128" s="320" t="s">
        <v>78</v>
      </c>
      <c r="B128" s="226"/>
      <c r="C128" s="226"/>
      <c r="D128" s="305"/>
      <c r="E128" s="305"/>
      <c r="F128" s="305"/>
      <c r="G128" s="306"/>
      <c r="H128" s="324">
        <f>ROUND(($E$139),-3)</f>
        <v>0</v>
      </c>
    </row>
    <row r="129" spans="1:8">
      <c r="A129" s="92" t="s">
        <v>400</v>
      </c>
      <c r="B129" s="5"/>
      <c r="C129" s="30"/>
      <c r="D129" s="11"/>
      <c r="E129" s="32">
        <f>($H$63)</f>
        <v>0</v>
      </c>
      <c r="F129" s="11"/>
      <c r="G129" s="7"/>
      <c r="H129" s="3"/>
    </row>
    <row r="130" spans="1:8">
      <c r="A130" s="92" t="s">
        <v>401</v>
      </c>
      <c r="B130" s="5"/>
      <c r="C130" s="30"/>
      <c r="D130" s="11"/>
      <c r="E130" s="32">
        <f>($H$69)</f>
        <v>0</v>
      </c>
      <c r="F130" s="11"/>
      <c r="G130" s="7"/>
      <c r="H130" s="3"/>
    </row>
    <row r="131" spans="1:8">
      <c r="A131" s="92" t="s">
        <v>402</v>
      </c>
      <c r="B131" s="5"/>
      <c r="C131" s="30"/>
      <c r="D131" s="11"/>
      <c r="E131" s="32">
        <f>($H$106)</f>
        <v>0</v>
      </c>
      <c r="F131" s="11"/>
      <c r="G131" s="7"/>
      <c r="H131" s="3"/>
    </row>
    <row r="132" spans="1:8">
      <c r="A132" s="92" t="s">
        <v>403</v>
      </c>
      <c r="B132" s="5"/>
      <c r="C132" s="30"/>
      <c r="D132" s="11"/>
      <c r="E132" s="139">
        <f>($H$117)</f>
        <v>0</v>
      </c>
      <c r="F132" s="11"/>
      <c r="G132" s="7"/>
      <c r="H132" s="3"/>
    </row>
    <row r="133" spans="1:8">
      <c r="A133" s="92" t="s">
        <v>404</v>
      </c>
      <c r="B133" s="5"/>
      <c r="C133" s="30"/>
      <c r="D133" s="11"/>
      <c r="E133" s="32">
        <f>($H$121)</f>
        <v>0</v>
      </c>
      <c r="F133" s="11"/>
      <c r="G133" s="7"/>
      <c r="H133" s="3"/>
    </row>
    <row r="134" spans="1:8">
      <c r="A134" s="92" t="s">
        <v>108</v>
      </c>
      <c r="B134" s="5"/>
      <c r="C134" s="272">
        <f>(PBW!C134)</f>
        <v>0</v>
      </c>
      <c r="D134" s="32">
        <f>($H$126)</f>
        <v>0</v>
      </c>
      <c r="E134" s="32">
        <f>ROUND(($C134*$D$134),-2)</f>
        <v>0</v>
      </c>
      <c r="F134" s="11"/>
      <c r="G134" s="7"/>
      <c r="H134" s="3"/>
    </row>
    <row r="135" spans="1:8">
      <c r="A135" s="92" t="s">
        <v>437</v>
      </c>
      <c r="B135" s="5"/>
      <c r="C135" s="539">
        <f>(PBW!C135)</f>
        <v>0</v>
      </c>
      <c r="D135" s="32">
        <f>($H$126)</f>
        <v>0</v>
      </c>
      <c r="E135" s="32">
        <f>ROUND(($C135*$D$135),-2)</f>
        <v>0</v>
      </c>
      <c r="F135" s="11"/>
      <c r="G135" s="7"/>
      <c r="H135" s="3"/>
    </row>
    <row r="136" spans="1:8">
      <c r="A136" s="92" t="s">
        <v>117</v>
      </c>
      <c r="B136" s="5"/>
      <c r="C136" s="272">
        <f>(PBW!C136)</f>
        <v>0</v>
      </c>
      <c r="D136" s="32">
        <f>($H$126)</f>
        <v>0</v>
      </c>
      <c r="E136" s="32">
        <f>ROUND(($C136*$D$136),-2)</f>
        <v>0</v>
      </c>
      <c r="F136" s="11"/>
      <c r="G136" s="7"/>
      <c r="H136" s="3"/>
    </row>
    <row r="137" spans="1:8">
      <c r="A137" s="92" t="s">
        <v>405</v>
      </c>
      <c r="B137" s="5"/>
      <c r="C137" s="30"/>
      <c r="D137" s="11"/>
      <c r="E137" s="139">
        <f>($H$123)</f>
        <v>0</v>
      </c>
      <c r="F137" s="11"/>
      <c r="G137" s="7"/>
      <c r="H137" s="3"/>
    </row>
    <row r="138" spans="1:8">
      <c r="A138" s="92" t="s">
        <v>406</v>
      </c>
      <c r="B138" s="5"/>
      <c r="C138" s="30"/>
      <c r="D138" s="11"/>
      <c r="E138" s="32">
        <f>SUM(E$133:E$137)</f>
        <v>0</v>
      </c>
      <c r="F138" s="11"/>
      <c r="G138" s="7"/>
      <c r="H138" s="3"/>
    </row>
    <row r="139" spans="1:8">
      <c r="A139" s="537" t="s">
        <v>431</v>
      </c>
      <c r="B139" s="122"/>
      <c r="C139" s="341">
        <v>1</v>
      </c>
      <c r="D139" s="109">
        <f>($E$138)</f>
        <v>0</v>
      </c>
      <c r="E139" s="342">
        <f>ROUND(($D$139*$C$139),-2)</f>
        <v>0</v>
      </c>
      <c r="F139" s="11"/>
      <c r="G139" s="7"/>
      <c r="H139" s="3"/>
    </row>
    <row r="140" spans="1:8" ht="13" thickBot="1">
      <c r="A140" s="1"/>
      <c r="B140" s="5"/>
      <c r="C140" s="5"/>
      <c r="D140" s="11"/>
      <c r="E140" s="11"/>
      <c r="F140" s="11"/>
      <c r="G140" s="7"/>
      <c r="H140" s="3"/>
    </row>
    <row r="141" spans="1:8" ht="13" thickBot="1">
      <c r="A141" s="320" t="s">
        <v>75</v>
      </c>
      <c r="B141" s="226"/>
      <c r="C141" s="226"/>
      <c r="D141" s="230"/>
      <c r="E141" s="230"/>
      <c r="F141" s="321"/>
      <c r="G141" s="322" t="str">
        <f>IF($H$141=0,"",($H$141/TOTCONST))</f>
        <v/>
      </c>
      <c r="H141" s="324">
        <f>ROUND(SUM($E$142:$E$144),-3)</f>
        <v>0</v>
      </c>
    </row>
    <row r="142" spans="1:8">
      <c r="A142" s="92" t="s">
        <v>408</v>
      </c>
      <c r="B142" s="5"/>
      <c r="C142" s="272">
        <f>(PBW!C142)</f>
        <v>0</v>
      </c>
      <c r="D142" s="3">
        <f>($H$128)</f>
        <v>0</v>
      </c>
      <c r="E142" s="32">
        <f>IF($E$143&gt;0,0,((ROUND(($C142*$D$142),-2))))</f>
        <v>0</v>
      </c>
      <c r="F142" s="1"/>
      <c r="G142" s="5"/>
      <c r="H142" s="3"/>
    </row>
    <row r="143" spans="1:8">
      <c r="A143" s="92" t="s">
        <v>409</v>
      </c>
      <c r="B143" s="5"/>
      <c r="C143" s="66" t="str">
        <f>IF($E$143=0,"",($E$143/TOTCONST))</f>
        <v/>
      </c>
      <c r="D143" s="3"/>
      <c r="E143" s="273">
        <f>(PBW!E143)</f>
        <v>0</v>
      </c>
      <c r="F143" s="1"/>
      <c r="G143" s="5"/>
      <c r="H143" s="3"/>
    </row>
    <row r="144" spans="1:8">
      <c r="A144" s="92" t="s">
        <v>410</v>
      </c>
      <c r="B144" s="5"/>
      <c r="C144" s="272">
        <f>(PBW!C144)</f>
        <v>0</v>
      </c>
      <c r="D144" s="3">
        <f>($E$142+$E$143)</f>
        <v>0</v>
      </c>
      <c r="E144" s="32">
        <f>ROUND($C144*D$144,-2)</f>
        <v>0</v>
      </c>
      <c r="F144" s="5"/>
      <c r="G144" s="5"/>
      <c r="H144" s="3"/>
    </row>
    <row r="145" spans="1:8" ht="13" thickBot="1">
      <c r="A145" s="1"/>
      <c r="B145" s="5"/>
      <c r="C145" s="30"/>
      <c r="D145" s="3"/>
      <c r="E145" s="3"/>
      <c r="F145" s="5"/>
      <c r="G145" s="5"/>
      <c r="H145" s="3"/>
    </row>
    <row r="146" spans="1:8" ht="13" thickBot="1">
      <c r="A146" s="320" t="s">
        <v>76</v>
      </c>
      <c r="B146" s="226"/>
      <c r="C146" s="323"/>
      <c r="D146" s="230"/>
      <c r="E146" s="230"/>
      <c r="F146" s="226"/>
      <c r="G146" s="322" t="str">
        <f>IF($H$146=0,"",($H$146/TOTCONST))</f>
        <v/>
      </c>
      <c r="H146" s="324">
        <f>ROUND(SUM($E$147:$E$157),-3)</f>
        <v>0</v>
      </c>
    </row>
    <row r="147" spans="1:8">
      <c r="A147" s="92" t="s">
        <v>411</v>
      </c>
      <c r="B147" s="5"/>
      <c r="C147" s="272">
        <f>(PBW!C147)</f>
        <v>0</v>
      </c>
      <c r="D147" s="3">
        <f>($H$128)</f>
        <v>0</v>
      </c>
      <c r="E147" s="32">
        <f>ROUND(($C147*$D$147),-2)</f>
        <v>0</v>
      </c>
      <c r="F147" s="1"/>
      <c r="G147" s="5"/>
      <c r="H147" s="3"/>
    </row>
    <row r="148" spans="1:8">
      <c r="A148" s="92" t="s">
        <v>433</v>
      </c>
      <c r="B148" s="5"/>
      <c r="C148" s="30"/>
      <c r="D148" s="3"/>
      <c r="E148" s="273">
        <f>(PBW!E148)</f>
        <v>0</v>
      </c>
      <c r="F148" s="5"/>
      <c r="G148" s="5"/>
      <c r="H148" s="3"/>
    </row>
    <row r="149" spans="1:8">
      <c r="A149" s="92" t="s">
        <v>412</v>
      </c>
      <c r="B149" s="5"/>
      <c r="C149" s="274">
        <f>(PBW!C149)</f>
        <v>0</v>
      </c>
      <c r="D149" s="3">
        <f>($H$128)</f>
        <v>0</v>
      </c>
      <c r="E149" s="32">
        <f>ROUND(($C$149*$D$149),-2)</f>
        <v>0</v>
      </c>
      <c r="F149" s="5"/>
      <c r="G149" s="5"/>
      <c r="H149" s="3"/>
    </row>
    <row r="150" spans="1:8">
      <c r="A150" s="92" t="s">
        <v>413</v>
      </c>
      <c r="B150" s="5"/>
      <c r="C150" s="74"/>
      <c r="D150" s="3"/>
      <c r="E150" s="275">
        <f>(PBW!E150)</f>
        <v>0</v>
      </c>
      <c r="F150" s="5"/>
      <c r="G150" s="5"/>
      <c r="H150" s="3"/>
    </row>
    <row r="151" spans="1:8">
      <c r="A151" s="92" t="s">
        <v>414</v>
      </c>
      <c r="B151" s="5"/>
      <c r="C151" s="30"/>
      <c r="D151" s="3"/>
      <c r="E151" s="276">
        <f>(PBW!E151)</f>
        <v>0</v>
      </c>
      <c r="F151" s="5"/>
      <c r="G151" s="5"/>
      <c r="H151" s="3"/>
    </row>
    <row r="152" spans="1:8">
      <c r="A152" s="92" t="s">
        <v>415</v>
      </c>
      <c r="B152" s="5"/>
      <c r="C152" s="30"/>
      <c r="D152" s="3"/>
      <c r="E152" s="276">
        <f>(PBW!E152)</f>
        <v>0</v>
      </c>
      <c r="F152" s="5"/>
      <c r="G152" s="5"/>
      <c r="H152" s="3"/>
    </row>
    <row r="153" spans="1:8">
      <c r="A153" s="591" t="s">
        <v>416</v>
      </c>
      <c r="B153" s="591"/>
      <c r="C153" s="591"/>
      <c r="D153" s="3"/>
      <c r="E153" s="276">
        <f>(PBW!E153)</f>
        <v>0</v>
      </c>
      <c r="F153" s="5"/>
      <c r="G153" s="5"/>
      <c r="H153" s="3"/>
    </row>
    <row r="154" spans="1:8">
      <c r="A154" s="591" t="s">
        <v>416</v>
      </c>
      <c r="B154" s="591"/>
      <c r="C154" s="591"/>
      <c r="D154" s="3"/>
      <c r="E154" s="276">
        <f>(PBW!E154)</f>
        <v>0</v>
      </c>
      <c r="F154" s="5"/>
      <c r="G154" s="5"/>
      <c r="H154" s="3"/>
    </row>
    <row r="155" spans="1:8">
      <c r="A155" s="591" t="s">
        <v>416</v>
      </c>
      <c r="B155" s="591"/>
      <c r="C155" s="591"/>
      <c r="D155" s="3"/>
      <c r="E155" s="276">
        <f>(PBW!E155)</f>
        <v>0</v>
      </c>
      <c r="F155" s="5"/>
      <c r="G155" s="5"/>
      <c r="H155" s="3"/>
    </row>
    <row r="156" spans="1:8">
      <c r="A156" s="591" t="s">
        <v>416</v>
      </c>
      <c r="B156" s="591"/>
      <c r="C156" s="591"/>
      <c r="D156" s="3"/>
      <c r="E156" s="277">
        <f>(PBW!E156)</f>
        <v>0</v>
      </c>
      <c r="F156" s="5"/>
      <c r="G156" s="5"/>
      <c r="H156" s="3"/>
    </row>
    <row r="157" spans="1:8">
      <c r="A157" s="92" t="s">
        <v>417</v>
      </c>
      <c r="B157" s="5"/>
      <c r="C157" s="274">
        <f>(PBW!C157)</f>
        <v>0</v>
      </c>
      <c r="D157" s="32">
        <f>($G$158)</f>
        <v>0</v>
      </c>
      <c r="E157" s="32">
        <f>ROUND(($C$157*$D$157),-2)</f>
        <v>0</v>
      </c>
      <c r="F157" s="5"/>
      <c r="G157" s="5"/>
      <c r="H157" s="3"/>
    </row>
    <row r="158" spans="1:8">
      <c r="A158" s="535" t="s">
        <v>432</v>
      </c>
      <c r="B158" s="226"/>
      <c r="C158" s="278"/>
      <c r="D158" s="228"/>
      <c r="E158" s="32"/>
      <c r="F158" s="12" t="s">
        <v>134</v>
      </c>
      <c r="G158" s="132">
        <f>ROUND(SUM($E$159:$E$163),-2)</f>
        <v>0</v>
      </c>
      <c r="H158" s="3"/>
    </row>
    <row r="159" spans="1:8">
      <c r="A159" s="92" t="s">
        <v>418</v>
      </c>
      <c r="B159" s="92"/>
      <c r="C159" s="92"/>
      <c r="D159" s="3"/>
      <c r="E159" s="275">
        <f>(PBW!E159)</f>
        <v>0</v>
      </c>
      <c r="F159" s="5"/>
      <c r="G159" s="5"/>
      <c r="H159" s="3"/>
    </row>
    <row r="160" spans="1:8">
      <c r="A160" s="92" t="s">
        <v>419</v>
      </c>
      <c r="B160" s="92"/>
      <c r="C160" s="92"/>
      <c r="D160" s="3"/>
      <c r="E160" s="276">
        <f>(PBW!E160)</f>
        <v>0</v>
      </c>
      <c r="F160" s="5"/>
      <c r="G160" s="5"/>
      <c r="H160" s="3"/>
    </row>
    <row r="161" spans="1:8">
      <c r="A161" s="591" t="s">
        <v>420</v>
      </c>
      <c r="B161" s="591"/>
      <c r="C161" s="591"/>
      <c r="D161" s="3"/>
      <c r="E161" s="276">
        <f>(PBW!E161)</f>
        <v>0</v>
      </c>
      <c r="F161" s="5"/>
      <c r="G161" s="5"/>
      <c r="H161" s="3"/>
    </row>
    <row r="162" spans="1:8">
      <c r="A162" s="591" t="s">
        <v>420</v>
      </c>
      <c r="B162" s="591"/>
      <c r="C162" s="591"/>
      <c r="D162" s="3"/>
      <c r="E162" s="276">
        <f>(PBW!E162)</f>
        <v>0</v>
      </c>
      <c r="F162" s="5"/>
      <c r="G162" s="5"/>
      <c r="H162" s="3"/>
    </row>
    <row r="163" spans="1:8">
      <c r="A163" s="591" t="s">
        <v>420</v>
      </c>
      <c r="B163" s="591"/>
      <c r="C163" s="591"/>
      <c r="D163" s="3"/>
      <c r="E163" s="277">
        <f>(PBW!E163)</f>
        <v>0</v>
      </c>
      <c r="F163" s="5"/>
      <c r="G163" s="5"/>
      <c r="H163" s="3"/>
    </row>
    <row r="164" spans="1:8" ht="13" thickBot="1">
      <c r="A164" s="1"/>
      <c r="B164" s="5"/>
      <c r="C164" s="30"/>
      <c r="D164" s="3"/>
      <c r="E164" s="5"/>
      <c r="F164" s="5"/>
      <c r="G164" s="5"/>
      <c r="H164" s="3"/>
    </row>
    <row r="165" spans="1:8" ht="13" thickBot="1">
      <c r="A165" s="320" t="s">
        <v>77</v>
      </c>
      <c r="B165" s="226"/>
      <c r="C165" s="279">
        <f>(PBW!C165)</f>
        <v>0</v>
      </c>
      <c r="D165" s="228">
        <f>($H$128)</f>
        <v>0</v>
      </c>
      <c r="E165" s="228">
        <f>ROUND($C165*$D165,-2)</f>
        <v>0</v>
      </c>
      <c r="F165" s="321"/>
      <c r="G165" s="226"/>
      <c r="H165" s="324">
        <f>ROUND(VALUE($E$165),-3)</f>
        <v>0</v>
      </c>
    </row>
    <row r="166" spans="1:8" ht="13" thickBot="1">
      <c r="A166" s="1"/>
      <c r="B166" s="5"/>
      <c r="C166" s="30"/>
      <c r="D166" s="3"/>
      <c r="E166" s="5"/>
      <c r="F166" s="5"/>
      <c r="G166" s="5"/>
      <c r="H166" s="3"/>
    </row>
    <row r="167" spans="1:8" ht="13" thickBot="1">
      <c r="A167" s="320" t="s">
        <v>104</v>
      </c>
      <c r="B167" s="226"/>
      <c r="C167" s="272">
        <f>(PBW!C167)</f>
        <v>0</v>
      </c>
      <c r="D167" s="228">
        <f>SUM($H$128+$H$165)</f>
        <v>0</v>
      </c>
      <c r="E167" s="228">
        <f>ROUND($C167*$D167,-2)</f>
        <v>0</v>
      </c>
      <c r="F167" s="321"/>
      <c r="G167" s="226"/>
      <c r="H167" s="324">
        <f>ROUND(VALUE($E$167),-3)</f>
        <v>0</v>
      </c>
    </row>
    <row r="168" spans="1:8" ht="13" thickBot="1">
      <c r="A168" s="5"/>
      <c r="B168" s="5"/>
      <c r="C168" s="21"/>
      <c r="D168" s="3"/>
      <c r="E168" s="3"/>
      <c r="F168" s="5"/>
      <c r="G168" s="5"/>
      <c r="H168" s="3"/>
    </row>
    <row r="169" spans="1:8" ht="13" thickBot="1">
      <c r="A169" s="320" t="s">
        <v>126</v>
      </c>
      <c r="B169" s="226"/>
      <c r="C169" s="229"/>
      <c r="D169" s="230"/>
      <c r="E169" s="230"/>
      <c r="F169" s="321"/>
      <c r="G169" s="278" t="str">
        <f>IF($H$169=0,"",($H$169/TOTCONST))</f>
        <v/>
      </c>
      <c r="H169" s="324">
        <f>ROUND(SUM($E$170:$E$177),-3)</f>
        <v>0</v>
      </c>
    </row>
    <row r="170" spans="1:8">
      <c r="A170" s="92" t="s">
        <v>421</v>
      </c>
      <c r="B170" s="5"/>
      <c r="C170" s="21"/>
      <c r="D170" s="3"/>
      <c r="E170" s="32">
        <f>ROUND(SUM($E$159:$E$163),-2)</f>
        <v>0</v>
      </c>
      <c r="F170" s="1"/>
      <c r="G170" s="5"/>
      <c r="H170" s="58"/>
    </row>
    <row r="171" spans="1:8">
      <c r="A171" s="535" t="s">
        <v>130</v>
      </c>
      <c r="B171" s="226"/>
      <c r="C171" s="229"/>
      <c r="D171" s="230"/>
      <c r="E171" s="3"/>
      <c r="F171" s="12" t="s">
        <v>135</v>
      </c>
      <c r="G171" s="132">
        <f>ROUND(SUM($E$172:$E$177),-2)</f>
        <v>0</v>
      </c>
      <c r="H171" s="58"/>
    </row>
    <row r="172" spans="1:8">
      <c r="A172" s="92" t="s">
        <v>435</v>
      </c>
      <c r="B172" s="5"/>
      <c r="C172" s="272">
        <f>(PBW!C172)</f>
        <v>0</v>
      </c>
      <c r="D172" s="32">
        <f>($H$128)</f>
        <v>0</v>
      </c>
      <c r="E172" s="32">
        <f>ROUND($C172*$D172,-2)</f>
        <v>0</v>
      </c>
      <c r="F172" s="280"/>
      <c r="G172" s="5"/>
      <c r="H172" s="3"/>
    </row>
    <row r="173" spans="1:8">
      <c r="A173" s="92" t="s">
        <v>418</v>
      </c>
      <c r="B173" s="5"/>
      <c r="C173" s="5"/>
      <c r="D173" s="3"/>
      <c r="E173" s="275">
        <f>(PBW!E173)</f>
        <v>0</v>
      </c>
      <c r="F173" s="280"/>
      <c r="G173" s="5"/>
      <c r="H173" s="3"/>
    </row>
    <row r="174" spans="1:8">
      <c r="A174" s="92" t="s">
        <v>419</v>
      </c>
      <c r="B174" s="5"/>
      <c r="C174" s="5"/>
      <c r="D174" s="3"/>
      <c r="E174" s="276">
        <f>(PBW!E174)</f>
        <v>0</v>
      </c>
      <c r="F174" s="280"/>
      <c r="G174" s="5"/>
      <c r="H174" s="3"/>
    </row>
    <row r="175" spans="1:8">
      <c r="A175" s="591" t="s">
        <v>434</v>
      </c>
      <c r="B175" s="591"/>
      <c r="C175" s="591"/>
      <c r="D175" s="3"/>
      <c r="E175" s="276">
        <f>(PBW!E175)</f>
        <v>0</v>
      </c>
      <c r="F175" s="280"/>
      <c r="G175" s="5"/>
      <c r="H175" s="3"/>
    </row>
    <row r="176" spans="1:8">
      <c r="A176" s="591" t="s">
        <v>434</v>
      </c>
      <c r="B176" s="591"/>
      <c r="C176" s="591"/>
      <c r="D176" s="3"/>
      <c r="E176" s="276">
        <f>(PBW!E176)</f>
        <v>0</v>
      </c>
      <c r="F176" s="280"/>
      <c r="G176" s="5"/>
      <c r="H176" s="3"/>
    </row>
    <row r="177" spans="1:8">
      <c r="A177" s="591" t="s">
        <v>434</v>
      </c>
      <c r="B177" s="591"/>
      <c r="C177" s="591"/>
      <c r="D177" s="3"/>
      <c r="E177" s="277">
        <f>(PBW!E177)</f>
        <v>0</v>
      </c>
      <c r="F177" s="280"/>
      <c r="G177" s="5"/>
      <c r="H177" s="3"/>
    </row>
    <row r="178" spans="1:8" ht="13" thickBot="1">
      <c r="A178" s="5"/>
      <c r="B178" s="5"/>
      <c r="C178" s="5"/>
      <c r="D178" s="5"/>
      <c r="E178" s="5"/>
      <c r="F178" s="5"/>
      <c r="G178" s="5"/>
      <c r="H178" s="3"/>
    </row>
    <row r="179" spans="1:8" ht="13" thickBot="1">
      <c r="A179" s="304" t="s">
        <v>46</v>
      </c>
      <c r="B179" s="305"/>
      <c r="C179" s="305"/>
      <c r="D179" s="305"/>
      <c r="E179" s="305"/>
      <c r="F179" s="304"/>
      <c r="G179" s="306"/>
      <c r="H179" s="324">
        <f>ROUND(SUM($H$128,$H$141,$H$146,$H$165,$H$167,$H$169),-3)</f>
        <v>0</v>
      </c>
    </row>
    <row r="180" spans="1:8" ht="5.75" customHeight="1">
      <c r="A180" s="11"/>
      <c r="B180" s="11"/>
      <c r="C180" s="11"/>
      <c r="D180" s="11"/>
      <c r="E180" s="11"/>
      <c r="F180" s="11"/>
      <c r="G180" s="11"/>
      <c r="H180" s="5"/>
    </row>
    <row r="181" spans="1:8">
      <c r="A181" s="5"/>
      <c r="B181" s="5"/>
      <c r="C181" s="32">
        <f>IF(ISERR(ROUND($H$126/($B$9+$B$13),0)),0,ROUND($H$126/($B$9+$B$13),0))</f>
        <v>0</v>
      </c>
      <c r="D181" s="23" t="s">
        <v>56</v>
      </c>
      <c r="E181" s="5"/>
      <c r="F181" s="5"/>
      <c r="G181" s="5"/>
      <c r="H181" s="5"/>
    </row>
    <row r="182" spans="1:8">
      <c r="A182" s="5"/>
      <c r="B182" s="5"/>
      <c r="C182" s="32">
        <f>IF(ISERR(ROUND($H$126/($B$10+$B$13),0)),0,ROUND($H$126/($B$10+$B$13),0))</f>
        <v>0</v>
      </c>
      <c r="D182" s="23" t="s">
        <v>57</v>
      </c>
      <c r="E182" s="5"/>
      <c r="F182" s="5"/>
      <c r="G182" s="5"/>
      <c r="H182" s="5"/>
    </row>
    <row r="183" spans="1:8">
      <c r="A183" s="5"/>
      <c r="B183" s="5"/>
      <c r="C183" s="32">
        <f>IF(ISERR(ROUND($H$179/($B$9+$B$13),0)),0,ROUND($H$179/($B$9+$B$13),0))</f>
        <v>0</v>
      </c>
      <c r="D183" s="23" t="s">
        <v>55</v>
      </c>
      <c r="E183" s="5"/>
      <c r="F183" s="5"/>
      <c r="G183" s="5"/>
      <c r="H183" s="5"/>
    </row>
    <row r="184" spans="1:8">
      <c r="A184" s="5"/>
      <c r="B184" s="5"/>
      <c r="C184" s="32">
        <f>IF(ISERR(ROUND($H$179/($B$10+$B$13),0)),0,ROUND($H$179/($B$10+$B$13),0))</f>
        <v>0</v>
      </c>
      <c r="D184" s="23" t="s">
        <v>54</v>
      </c>
      <c r="E184" s="5"/>
      <c r="F184" s="5"/>
      <c r="G184" s="5"/>
      <c r="H184" s="5"/>
    </row>
    <row r="185" spans="1:8" ht="5.75" customHeight="1">
      <c r="A185" s="5"/>
      <c r="B185" s="5"/>
      <c r="C185" s="32"/>
      <c r="D185" s="23"/>
      <c r="E185" s="5"/>
      <c r="F185" s="5"/>
      <c r="G185" s="5"/>
      <c r="H185" s="5"/>
    </row>
    <row r="186" spans="1:8">
      <c r="A186" s="304" t="s">
        <v>47</v>
      </c>
      <c r="B186" s="226"/>
      <c r="C186" s="226"/>
      <c r="D186" s="226"/>
      <c r="E186" s="226"/>
      <c r="F186" s="226"/>
      <c r="G186" s="226"/>
      <c r="H186" s="5"/>
    </row>
    <row r="187" spans="1:8">
      <c r="A187" s="281" t="str">
        <f>IF(ISBLANK(PBW!A187),"",PBW!A187)</f>
        <v>X</v>
      </c>
      <c r="B187" s="5"/>
      <c r="C187" s="5"/>
      <c r="D187" s="5"/>
      <c r="E187" s="5"/>
      <c r="F187" s="5"/>
      <c r="G187" s="5"/>
      <c r="H187" s="5"/>
    </row>
    <row r="188" spans="1:8">
      <c r="A188" s="281" t="str">
        <f>IF(ISBLANK(PBW!A188),"",PBW!A188)</f>
        <v>X</v>
      </c>
      <c r="B188" s="5"/>
      <c r="C188" s="5"/>
      <c r="D188" s="5"/>
      <c r="E188" s="5"/>
      <c r="F188" s="5"/>
      <c r="G188" s="5"/>
      <c r="H188" s="5"/>
    </row>
    <row r="189" spans="1:8">
      <c r="A189" s="281" t="str">
        <f>IF(ISBLANK(PBW!A189),"",PBW!A189)</f>
        <v>X</v>
      </c>
      <c r="B189" s="5"/>
      <c r="C189" s="5"/>
      <c r="D189" s="5"/>
      <c r="E189" s="5"/>
      <c r="F189" s="5"/>
      <c r="G189" s="5"/>
      <c r="H189" s="5"/>
    </row>
    <row r="190" spans="1:8">
      <c r="A190" s="281" t="str">
        <f>IF(ISBLANK(PBW!A190),"",PBW!A190)</f>
        <v>X</v>
      </c>
      <c r="B190" s="5"/>
      <c r="C190" s="5"/>
      <c r="D190" s="5"/>
      <c r="E190" s="5"/>
      <c r="F190" s="5"/>
      <c r="G190" s="5"/>
      <c r="H190" s="5"/>
    </row>
    <row r="191" spans="1:8">
      <c r="A191" s="281" t="str">
        <f>IF(ISBLANK(PBW!A191),"",PBW!A191)</f>
        <v>X</v>
      </c>
      <c r="B191" s="5"/>
      <c r="C191" s="5"/>
      <c r="D191" s="5"/>
      <c r="E191" s="5"/>
      <c r="F191" s="5"/>
      <c r="G191" s="5"/>
      <c r="H191" s="5"/>
    </row>
  </sheetData>
  <sheetProtection algorithmName="SHA-512" hashValue="RCcHnHQUQ4SwXAVWX4FN2vA/YLy13aHX0q3iaBHBF9BbIuoBCNUPJ+hHDnCiHge5k1+DKrS57EERV3rxjflCIg==" saltValue="Ql/TyheXFLL7EoyMdCD6Hw==" spinCount="100000" sheet="1" objects="1" scenarios="1"/>
  <mergeCells count="76">
    <mergeCell ref="A155:C155"/>
    <mergeCell ref="A176:C176"/>
    <mergeCell ref="A177:C177"/>
    <mergeCell ref="A156:C156"/>
    <mergeCell ref="A161:C161"/>
    <mergeCell ref="A162:C162"/>
    <mergeCell ref="A163:C163"/>
    <mergeCell ref="A175:C175"/>
    <mergeCell ref="B115:D115"/>
    <mergeCell ref="B116:D116"/>
    <mergeCell ref="A117:G117"/>
    <mergeCell ref="A153:C153"/>
    <mergeCell ref="A154:C154"/>
    <mergeCell ref="B110:D110"/>
    <mergeCell ref="B111:D111"/>
    <mergeCell ref="B112:D112"/>
    <mergeCell ref="B113:D113"/>
    <mergeCell ref="B114:D114"/>
    <mergeCell ref="B105:D105"/>
    <mergeCell ref="A106:G106"/>
    <mergeCell ref="B107:D107"/>
    <mergeCell ref="A108:G108"/>
    <mergeCell ref="B109:D109"/>
    <mergeCell ref="B100:D100"/>
    <mergeCell ref="B101:D101"/>
    <mergeCell ref="B102:D102"/>
    <mergeCell ref="B103:D103"/>
    <mergeCell ref="B104:D104"/>
    <mergeCell ref="B99:D99"/>
    <mergeCell ref="B88:D88"/>
    <mergeCell ref="B89:D89"/>
    <mergeCell ref="B90:D90"/>
    <mergeCell ref="B91:D91"/>
    <mergeCell ref="B92:D92"/>
    <mergeCell ref="B93:D93"/>
    <mergeCell ref="B94:D94"/>
    <mergeCell ref="B95:D95"/>
    <mergeCell ref="B96:D96"/>
    <mergeCell ref="B97:D97"/>
    <mergeCell ref="B98:D98"/>
    <mergeCell ref="B87:D87"/>
    <mergeCell ref="B76:D76"/>
    <mergeCell ref="B77:D77"/>
    <mergeCell ref="B78:D78"/>
    <mergeCell ref="B79:D79"/>
    <mergeCell ref="B80:D80"/>
    <mergeCell ref="B81:D81"/>
    <mergeCell ref="B82:D82"/>
    <mergeCell ref="B83:D83"/>
    <mergeCell ref="B84:D84"/>
    <mergeCell ref="B85:D85"/>
    <mergeCell ref="B86:D86"/>
    <mergeCell ref="B75:D75"/>
    <mergeCell ref="B54:C54"/>
    <mergeCell ref="B55:C55"/>
    <mergeCell ref="B57:C57"/>
    <mergeCell ref="B58:C58"/>
    <mergeCell ref="B59:C59"/>
    <mergeCell ref="B68:D68"/>
    <mergeCell ref="B69:D69"/>
    <mergeCell ref="A71:G71"/>
    <mergeCell ref="B72:D72"/>
    <mergeCell ref="B73:D73"/>
    <mergeCell ref="B74:D74"/>
    <mergeCell ref="B53:C53"/>
    <mergeCell ref="B3:E3"/>
    <mergeCell ref="B4:E4"/>
    <mergeCell ref="B6:E6"/>
    <mergeCell ref="B43:C43"/>
    <mergeCell ref="B44:C44"/>
    <mergeCell ref="B45:C45"/>
    <mergeCell ref="B46:C46"/>
    <mergeCell ref="B48:C48"/>
    <mergeCell ref="B49:C49"/>
    <mergeCell ref="B50:C50"/>
    <mergeCell ref="B51:C51"/>
  </mergeCells>
  <conditionalFormatting sqref="H12">
    <cfRule type="cellIs" dxfId="114" priority="43" operator="lessThan">
      <formula>$H$11</formula>
    </cfRule>
    <cfRule type="cellIs" dxfId="113" priority="44" operator="greaterThan">
      <formula>$H$11</formula>
    </cfRule>
    <cfRule type="cellIs" dxfId="112" priority="45" operator="equal">
      <formula>$H$11</formula>
    </cfRule>
  </conditionalFormatting>
  <conditionalFormatting sqref="H10">
    <cfRule type="cellIs" dxfId="111" priority="42" operator="lessThan">
      <formula>$H$9</formula>
    </cfRule>
  </conditionalFormatting>
  <conditionalFormatting sqref="E43">
    <cfRule type="cellIs" dxfId="110" priority="40" operator="lessThan">
      <formula>$F$43</formula>
    </cfRule>
    <cfRule type="cellIs" dxfId="109" priority="41" operator="greaterThan">
      <formula>$F$43</formula>
    </cfRule>
  </conditionalFormatting>
  <conditionalFormatting sqref="E44">
    <cfRule type="cellIs" dxfId="108" priority="38" operator="lessThan">
      <formula>$F$44</formula>
    </cfRule>
    <cfRule type="cellIs" dxfId="107" priority="39" operator="greaterThan">
      <formula>$F$44</formula>
    </cfRule>
  </conditionalFormatting>
  <conditionalFormatting sqref="E45">
    <cfRule type="cellIs" dxfId="106" priority="36" operator="lessThan">
      <formula>$F$45</formula>
    </cfRule>
    <cfRule type="cellIs" dxfId="105" priority="37" operator="greaterThan">
      <formula>$F$45</formula>
    </cfRule>
  </conditionalFormatting>
  <conditionalFormatting sqref="E46">
    <cfRule type="cellIs" dxfId="104" priority="34" operator="lessThan">
      <formula>$F$46</formula>
    </cfRule>
    <cfRule type="cellIs" dxfId="103" priority="35" operator="greaterThan">
      <formula>$F$46</formula>
    </cfRule>
  </conditionalFormatting>
  <conditionalFormatting sqref="E48">
    <cfRule type="cellIs" dxfId="102" priority="32" operator="lessThan">
      <formula>$F$48</formula>
    </cfRule>
    <cfRule type="cellIs" dxfId="101" priority="33" operator="greaterThan">
      <formula>$F$48</formula>
    </cfRule>
  </conditionalFormatting>
  <conditionalFormatting sqref="E49">
    <cfRule type="cellIs" dxfId="100" priority="30" operator="lessThan">
      <formula>$F$49</formula>
    </cfRule>
    <cfRule type="cellIs" dxfId="99" priority="31" operator="greaterThan">
      <formula>$F$49</formula>
    </cfRule>
  </conditionalFormatting>
  <conditionalFormatting sqref="E50">
    <cfRule type="cellIs" dxfId="98" priority="28" operator="lessThan">
      <formula>$F$50</formula>
    </cfRule>
    <cfRule type="cellIs" dxfId="97" priority="29" operator="greaterThan">
      <formula>$F$50</formula>
    </cfRule>
  </conditionalFormatting>
  <conditionalFormatting sqref="E51">
    <cfRule type="cellIs" dxfId="96" priority="26" operator="lessThan">
      <formula>$F$51</formula>
    </cfRule>
    <cfRule type="cellIs" dxfId="95" priority="27" operator="greaterThan">
      <formula>$F$51</formula>
    </cfRule>
  </conditionalFormatting>
  <conditionalFormatting sqref="E53">
    <cfRule type="cellIs" dxfId="94" priority="24" operator="lessThan">
      <formula>$F$53</formula>
    </cfRule>
    <cfRule type="cellIs" dxfId="93" priority="25" operator="greaterThan">
      <formula>$F$53</formula>
    </cfRule>
  </conditionalFormatting>
  <conditionalFormatting sqref="E54">
    <cfRule type="cellIs" dxfId="92" priority="22" operator="lessThan">
      <formula>$F$54</formula>
    </cfRule>
    <cfRule type="cellIs" dxfId="91" priority="23" operator="greaterThan">
      <formula>$F$54</formula>
    </cfRule>
  </conditionalFormatting>
  <conditionalFormatting sqref="E55">
    <cfRule type="cellIs" dxfId="90" priority="20" operator="lessThan">
      <formula>$F$55</formula>
    </cfRule>
    <cfRule type="cellIs" dxfId="89" priority="21" operator="greaterThan">
      <formula>$F$55</formula>
    </cfRule>
  </conditionalFormatting>
  <conditionalFormatting sqref="E57">
    <cfRule type="cellIs" dxfId="88" priority="18" operator="lessThan">
      <formula>$F$57</formula>
    </cfRule>
    <cfRule type="cellIs" dxfId="87" priority="19" operator="greaterThan">
      <formula>$F$57</formula>
    </cfRule>
  </conditionalFormatting>
  <conditionalFormatting sqref="E58">
    <cfRule type="cellIs" dxfId="86" priority="16" operator="lessThan">
      <formula>$F$58</formula>
    </cfRule>
    <cfRule type="cellIs" dxfId="85" priority="17" operator="greaterThan">
      <formula>$F$58</formula>
    </cfRule>
  </conditionalFormatting>
  <conditionalFormatting sqref="E59">
    <cfRule type="cellIs" dxfId="84" priority="14" operator="lessThan">
      <formula>$F$59</formula>
    </cfRule>
    <cfRule type="cellIs" dxfId="83" priority="15" operator="greaterThan">
      <formula>$F$59</formula>
    </cfRule>
  </conditionalFormatting>
  <conditionalFormatting sqref="H61">
    <cfRule type="expression" dxfId="82" priority="13">
      <formula>($G$61="ERROR?")</formula>
    </cfRule>
  </conditionalFormatting>
  <conditionalFormatting sqref="B5">
    <cfRule type="cellIs" dxfId="81" priority="7" stopIfTrue="1" operator="equal">
      <formula>"AA"</formula>
    </cfRule>
    <cfRule type="cellIs" dxfId="80" priority="8" stopIfTrue="1" operator="equal">
      <formula>"IS"</formula>
    </cfRule>
    <cfRule type="cellIs" dxfId="79" priority="9" stopIfTrue="1" operator="equal">
      <formula>"MFR"</formula>
    </cfRule>
    <cfRule type="cellIs" dxfId="78" priority="10" stopIfTrue="1" operator="equal">
      <formula>"MP"</formula>
    </cfRule>
    <cfRule type="cellIs" dxfId="77" priority="11" operator="equal">
      <formula>"P&amp;D"</formula>
    </cfRule>
    <cfRule type="cellIs" dxfId="76" priority="12" operator="equal">
      <formula>"SP"</formula>
    </cfRule>
  </conditionalFormatting>
  <conditionalFormatting sqref="H14">
    <cfRule type="cellIs" dxfId="75" priority="1" stopIfTrue="1" operator="equal">
      <formula>"AA"</formula>
    </cfRule>
    <cfRule type="cellIs" dxfId="74" priority="2" stopIfTrue="1" operator="equal">
      <formula>"IS"</formula>
    </cfRule>
    <cfRule type="cellIs" dxfId="73" priority="3" stopIfTrue="1" operator="equal">
      <formula>"MFR"</formula>
    </cfRule>
    <cfRule type="cellIs" dxfId="72" priority="4" stopIfTrue="1" operator="equal">
      <formula>"MP"</formula>
    </cfRule>
    <cfRule type="cellIs" dxfId="71" priority="5" operator="equal">
      <formula>"P&amp;D"</formula>
    </cfRule>
    <cfRule type="cellIs" dxfId="70" priority="6" operator="equal">
      <formula>"SP"</formula>
    </cfRule>
  </conditionalFormatting>
  <printOptions horizontalCentered="1"/>
  <pageMargins left="0.25" right="0.25" top="0.25" bottom="0.5" header="0.25" footer="0.25"/>
  <pageSetup orientation="portrait" horizontalDpi="4294967292" verticalDpi="4294967292" r:id="rId1"/>
  <headerFooter>
    <oddFooter>&amp;L&amp;"Arial Narrow,Regular"&amp;8&amp;K000000&amp;D&amp;C&amp;"Arial Narrow,Regular"&amp;8&amp;K000000PBW (No Inflation)&amp;R&amp;"Arial Narrow,Regular"&amp;8&amp;K000000&amp;P of &amp;N</oddFooter>
  </headerFooter>
  <rowBreaks count="1" manualBreakCount="1">
    <brk id="63" max="16383" man="1"/>
  </rowBreaks>
  <ignoredErrors>
    <ignoredError sqref="H14 B5" unlockedFormula="1"/>
    <ignoredError sqref="A114:G114" 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0624F-AA68-2A48-BD97-891935BC0192}">
  <sheetPr>
    <tabColor rgb="FF0070C0"/>
  </sheetPr>
  <dimension ref="A1:AK103"/>
  <sheetViews>
    <sheetView showGridLines="0" zoomScaleNormal="100" workbookViewId="0">
      <selection activeCell="I14" sqref="I14"/>
    </sheetView>
  </sheetViews>
  <sheetFormatPr baseColWidth="10" defaultColWidth="10.796875" defaultRowHeight="16"/>
  <cols>
    <col min="1" max="36" width="11" style="418" customWidth="1"/>
    <col min="37" max="16384" width="10.796875" style="418"/>
  </cols>
  <sheetData>
    <row r="1" spans="1:37">
      <c r="A1" s="415"/>
      <c r="B1" s="416" t="s">
        <v>308</v>
      </c>
      <c r="C1" s="416" t="s">
        <v>309</v>
      </c>
      <c r="D1" s="415"/>
      <c r="E1" s="416" t="s">
        <v>310</v>
      </c>
      <c r="F1" s="416" t="s">
        <v>311</v>
      </c>
      <c r="G1" s="415"/>
      <c r="H1" s="417"/>
      <c r="I1" s="417"/>
      <c r="J1" s="415"/>
      <c r="K1" s="417"/>
      <c r="L1" s="417"/>
      <c r="M1" s="415"/>
      <c r="N1" s="415"/>
      <c r="O1" s="415"/>
      <c r="P1" s="415"/>
      <c r="Q1" s="415"/>
      <c r="R1" s="415"/>
      <c r="S1" s="415"/>
      <c r="T1" s="415"/>
      <c r="U1" s="415"/>
      <c r="V1" s="415"/>
      <c r="W1" s="415"/>
      <c r="X1" s="415"/>
      <c r="Y1" s="415"/>
      <c r="Z1" s="415"/>
    </row>
    <row r="2" spans="1:37">
      <c r="A2" s="419" t="s">
        <v>312</v>
      </c>
      <c r="B2" s="420">
        <f>YEAR($B$5)</f>
        <v>2022</v>
      </c>
      <c r="C2" s="420">
        <f>YEAR($C$5)</f>
        <v>2023</v>
      </c>
      <c r="D2" s="421"/>
      <c r="E2" s="420">
        <f>YEAR($E$5)</f>
        <v>2024</v>
      </c>
      <c r="F2" s="420">
        <f>YEAR($F$5)</f>
        <v>2070</v>
      </c>
      <c r="G2" s="415"/>
      <c r="H2" s="415"/>
      <c r="I2" s="415"/>
      <c r="J2" s="415"/>
      <c r="K2" s="415"/>
      <c r="L2" s="415"/>
      <c r="M2" s="415"/>
      <c r="N2" s="415"/>
      <c r="O2" s="415"/>
      <c r="P2" s="415"/>
      <c r="Q2" s="415"/>
      <c r="R2" s="415"/>
      <c r="S2" s="415"/>
      <c r="T2" s="415"/>
      <c r="U2" s="415"/>
      <c r="V2" s="415"/>
      <c r="W2" s="415"/>
      <c r="X2" s="415"/>
      <c r="Y2" s="415"/>
      <c r="Z2" s="415"/>
    </row>
    <row r="3" spans="1:37">
      <c r="A3" s="419" t="s">
        <v>313</v>
      </c>
      <c r="B3" s="422">
        <f>MONTH($B$5)</f>
        <v>7</v>
      </c>
      <c r="C3" s="422">
        <f>MONTH($C$5)</f>
        <v>12</v>
      </c>
      <c r="D3" s="421"/>
      <c r="E3" s="422">
        <f>MONTH($E$5)</f>
        <v>1</v>
      </c>
      <c r="F3" s="422">
        <f>MONTH($F$5)</f>
        <v>12</v>
      </c>
      <c r="G3" s="415"/>
      <c r="H3" s="415"/>
      <c r="I3" s="415"/>
      <c r="J3" s="415"/>
      <c r="K3" s="415"/>
      <c r="L3" s="415"/>
      <c r="M3" s="415"/>
      <c r="N3" s="415"/>
      <c r="O3" s="415"/>
      <c r="P3" s="415"/>
      <c r="Q3" s="415"/>
      <c r="R3" s="415"/>
      <c r="S3" s="415"/>
      <c r="T3" s="415"/>
      <c r="U3" s="415"/>
      <c r="V3" s="415"/>
      <c r="W3" s="415"/>
      <c r="X3" s="415"/>
      <c r="Y3" s="415"/>
      <c r="Z3" s="415"/>
    </row>
    <row r="4" spans="1:37">
      <c r="A4" s="419" t="s">
        <v>314</v>
      </c>
      <c r="B4" s="423" t="str">
        <f>$B$2&amp;TEXT($B$3,"00")</f>
        <v>202207</v>
      </c>
      <c r="C4" s="423" t="str">
        <f>$C$2&amp;TEXT($C$3,"00")</f>
        <v>202312</v>
      </c>
      <c r="D4" s="424"/>
      <c r="E4" s="423" t="str">
        <f>$E$2&amp;TEXT($E$3,"00")</f>
        <v>202401</v>
      </c>
      <c r="F4" s="423" t="str">
        <f>$F$2&amp;TEXT($F$3,"00")</f>
        <v>207012</v>
      </c>
      <c r="G4" s="415"/>
      <c r="H4" s="415"/>
      <c r="I4" s="415"/>
      <c r="J4" s="415"/>
      <c r="K4" s="415"/>
      <c r="L4" s="415"/>
      <c r="M4" s="415"/>
      <c r="N4" s="415"/>
      <c r="O4" s="415"/>
      <c r="P4" s="415"/>
      <c r="Q4" s="415"/>
      <c r="R4" s="415"/>
      <c r="S4" s="415"/>
      <c r="T4" s="415"/>
      <c r="U4" s="415"/>
      <c r="V4" s="415"/>
      <c r="W4" s="415"/>
      <c r="X4" s="415"/>
      <c r="Y4" s="415"/>
      <c r="Z4" s="415"/>
    </row>
    <row r="5" spans="1:37">
      <c r="A5" s="419" t="s">
        <v>315</v>
      </c>
      <c r="B5" s="413">
        <v>44743</v>
      </c>
      <c r="C5" s="413">
        <v>45261</v>
      </c>
      <c r="D5" s="424"/>
      <c r="E5" s="413">
        <f>EDATE($C$5,1)</f>
        <v>45292</v>
      </c>
      <c r="F5" s="413">
        <v>62428</v>
      </c>
      <c r="G5" s="415"/>
      <c r="H5" s="415"/>
      <c r="I5" s="415"/>
      <c r="J5" s="415"/>
      <c r="K5" s="415"/>
      <c r="L5" s="415"/>
      <c r="M5" s="415"/>
      <c r="N5" s="415"/>
      <c r="O5" s="415"/>
      <c r="P5" s="415"/>
      <c r="Q5" s="415"/>
      <c r="R5" s="415"/>
      <c r="S5" s="415"/>
      <c r="T5" s="415"/>
      <c r="U5" s="415"/>
      <c r="V5" s="415"/>
      <c r="W5" s="415"/>
      <c r="X5" s="415"/>
      <c r="Y5" s="415"/>
      <c r="Z5" s="415"/>
    </row>
    <row r="6" spans="1:37">
      <c r="A6" s="419"/>
      <c r="B6" s="425" t="s">
        <v>316</v>
      </c>
      <c r="C6" s="425" t="s">
        <v>317</v>
      </c>
      <c r="D6" s="424"/>
      <c r="E6" s="425" t="s">
        <v>318</v>
      </c>
      <c r="F6" s="425" t="s">
        <v>319</v>
      </c>
      <c r="G6" s="415"/>
      <c r="H6" s="415"/>
      <c r="I6" s="415"/>
      <c r="J6" s="415"/>
      <c r="K6" s="415"/>
      <c r="L6" s="415"/>
      <c r="M6" s="415"/>
      <c r="N6" s="415"/>
      <c r="O6" s="415"/>
      <c r="P6" s="415"/>
      <c r="Q6" s="415"/>
      <c r="R6" s="415"/>
      <c r="S6" s="415"/>
      <c r="T6" s="415"/>
      <c r="U6" s="415"/>
      <c r="V6" s="415"/>
      <c r="W6" s="415"/>
      <c r="X6" s="415"/>
      <c r="Y6" s="415"/>
      <c r="Z6" s="415"/>
    </row>
    <row r="7" spans="1:37">
      <c r="A7" s="419" t="s">
        <v>320</v>
      </c>
      <c r="B7" s="410">
        <v>0.16</v>
      </c>
      <c r="C7" s="410">
        <f>($B$7/12)</f>
        <v>1.3333333333333334E-2</v>
      </c>
      <c r="D7" s="415"/>
      <c r="E7" s="410">
        <v>0.08</v>
      </c>
      <c r="F7" s="410">
        <f>($E$7/12)</f>
        <v>6.6666666666666671E-3</v>
      </c>
      <c r="G7" s="415"/>
      <c r="H7" s="415"/>
      <c r="I7" s="415"/>
      <c r="J7" s="415"/>
      <c r="K7" s="415"/>
      <c r="L7" s="415"/>
      <c r="M7" s="415"/>
      <c r="N7" s="415"/>
      <c r="O7" s="415"/>
      <c r="P7" s="415"/>
      <c r="Q7" s="415"/>
      <c r="R7" s="415"/>
      <c r="S7" s="415"/>
      <c r="T7" s="415"/>
      <c r="U7" s="415"/>
      <c r="V7" s="415"/>
      <c r="W7" s="415"/>
      <c r="X7" s="415"/>
      <c r="Y7" s="415"/>
      <c r="Z7" s="415"/>
    </row>
    <row r="8" spans="1:37">
      <c r="A8" s="415"/>
      <c r="B8" s="415"/>
      <c r="C8" s="415"/>
      <c r="D8" s="415"/>
      <c r="E8" s="415"/>
      <c r="F8" s="415"/>
      <c r="G8" s="415"/>
      <c r="H8" s="415"/>
      <c r="I8" s="415"/>
      <c r="J8" s="415"/>
      <c r="K8" s="415"/>
      <c r="L8" s="415"/>
      <c r="M8" s="415"/>
      <c r="N8" s="415"/>
      <c r="O8" s="415"/>
      <c r="P8" s="415"/>
      <c r="Q8" s="415"/>
      <c r="R8" s="415"/>
      <c r="S8" s="415"/>
      <c r="T8" s="415"/>
      <c r="U8" s="415"/>
      <c r="V8" s="415"/>
      <c r="W8" s="415"/>
      <c r="X8" s="415"/>
      <c r="Y8" s="415"/>
      <c r="Z8" s="415"/>
    </row>
    <row r="9" spans="1:37">
      <c r="A9" s="415"/>
      <c r="B9" s="593" t="s">
        <v>371</v>
      </c>
      <c r="C9" s="593"/>
      <c r="D9" s="593"/>
      <c r="E9" s="593"/>
      <c r="F9" s="593"/>
      <c r="G9" s="415"/>
      <c r="H9" s="594" t="s">
        <v>331</v>
      </c>
      <c r="I9" s="594"/>
      <c r="J9" s="594"/>
      <c r="K9" s="594"/>
      <c r="L9" s="594"/>
      <c r="M9" s="415"/>
      <c r="N9" s="415"/>
      <c r="O9" s="595" t="s">
        <v>368</v>
      </c>
      <c r="P9" s="595"/>
      <c r="Q9" s="595"/>
      <c r="R9" s="595"/>
      <c r="S9" s="595"/>
      <c r="T9" s="415"/>
      <c r="U9" s="595" t="s">
        <v>367</v>
      </c>
      <c r="V9" s="595"/>
      <c r="W9" s="595"/>
      <c r="X9" s="595"/>
      <c r="Y9" s="595"/>
      <c r="Z9" s="415"/>
      <c r="AA9" s="596" t="s">
        <v>369</v>
      </c>
      <c r="AB9" s="596"/>
      <c r="AC9" s="596"/>
      <c r="AD9" s="596"/>
      <c r="AE9" s="596"/>
      <c r="AG9" s="592" t="s">
        <v>370</v>
      </c>
      <c r="AH9" s="592"/>
      <c r="AI9" s="592"/>
      <c r="AJ9" s="592"/>
      <c r="AK9" s="592"/>
    </row>
    <row r="10" spans="1:37">
      <c r="A10" s="415"/>
      <c r="B10" s="415"/>
      <c r="C10" s="490" t="s">
        <v>347</v>
      </c>
      <c r="D10" s="490" t="s">
        <v>348</v>
      </c>
      <c r="E10" s="490" t="s">
        <v>323</v>
      </c>
      <c r="F10" s="490" t="s">
        <v>324</v>
      </c>
      <c r="G10" s="415"/>
      <c r="H10" s="415"/>
      <c r="I10" s="416" t="s">
        <v>321</v>
      </c>
      <c r="J10" s="416" t="s">
        <v>322</v>
      </c>
      <c r="K10" s="416" t="s">
        <v>323</v>
      </c>
      <c r="L10" s="416" t="s">
        <v>324</v>
      </c>
      <c r="M10" s="415"/>
      <c r="N10" s="415"/>
      <c r="O10" s="415"/>
      <c r="P10" s="478" t="s">
        <v>326</v>
      </c>
      <c r="Q10" s="478" t="s">
        <v>327</v>
      </c>
      <c r="R10" s="478" t="s">
        <v>323</v>
      </c>
      <c r="S10" s="478" t="s">
        <v>324</v>
      </c>
      <c r="T10" s="415"/>
      <c r="U10" s="415"/>
      <c r="V10" s="478" t="s">
        <v>328</v>
      </c>
      <c r="W10" s="478" t="s">
        <v>327</v>
      </c>
      <c r="X10" s="478" t="s">
        <v>323</v>
      </c>
      <c r="Y10" s="478" t="s">
        <v>324</v>
      </c>
      <c r="Z10" s="415"/>
      <c r="AA10" s="415"/>
      <c r="AB10" s="480" t="s">
        <v>330</v>
      </c>
      <c r="AC10" s="480" t="s">
        <v>327</v>
      </c>
      <c r="AD10" s="480" t="s">
        <v>323</v>
      </c>
      <c r="AE10" s="480" t="s">
        <v>324</v>
      </c>
      <c r="AG10" s="415"/>
      <c r="AH10" s="468" t="s">
        <v>365</v>
      </c>
      <c r="AI10" s="468" t="s">
        <v>366</v>
      </c>
      <c r="AJ10" s="468" t="s">
        <v>323</v>
      </c>
      <c r="AK10" s="468" t="s">
        <v>324</v>
      </c>
    </row>
    <row r="11" spans="1:37">
      <c r="A11" s="415"/>
      <c r="B11" s="491" t="s">
        <v>312</v>
      </c>
      <c r="C11" s="492">
        <f>YEAR($C$14)</f>
        <v>2023</v>
      </c>
      <c r="D11" s="492">
        <f>YEAR($D$14)</f>
        <v>2029</v>
      </c>
      <c r="E11" s="493"/>
      <c r="F11" s="493"/>
      <c r="G11" s="421"/>
      <c r="H11" s="426" t="s">
        <v>312</v>
      </c>
      <c r="I11" s="420">
        <f>YEAR($I$14)</f>
        <v>2023</v>
      </c>
      <c r="J11" s="420">
        <f>YEAR($J$14)</f>
        <v>2029</v>
      </c>
      <c r="K11" s="415"/>
      <c r="L11" s="415"/>
      <c r="M11" s="415"/>
      <c r="N11" s="415"/>
      <c r="O11" s="479" t="s">
        <v>312</v>
      </c>
      <c r="P11" s="470">
        <f>YEAR($P$14)</f>
        <v>2011</v>
      </c>
      <c r="Q11" s="470">
        <f>YEAR($Q$14)</f>
        <v>2023</v>
      </c>
      <c r="R11" s="471"/>
      <c r="S11" s="471"/>
      <c r="T11" s="415"/>
      <c r="U11" s="479" t="s">
        <v>312</v>
      </c>
      <c r="V11" s="470">
        <f>YEAR($V$14)</f>
        <v>2018</v>
      </c>
      <c r="W11" s="470">
        <f>YEAR($W$14)</f>
        <v>2023</v>
      </c>
      <c r="X11" s="471"/>
      <c r="Y11" s="471"/>
      <c r="Z11" s="415"/>
      <c r="AA11" s="481" t="s">
        <v>312</v>
      </c>
      <c r="AB11" s="482">
        <f>YEAR($AB$14)</f>
        <v>2022</v>
      </c>
      <c r="AC11" s="482">
        <f>YEAR($AC$14)</f>
        <v>2023</v>
      </c>
      <c r="AD11" s="483"/>
      <c r="AE11" s="483"/>
      <c r="AG11" s="469" t="s">
        <v>312</v>
      </c>
      <c r="AH11" s="460">
        <f>YEAR($AH$14)</f>
        <v>2023</v>
      </c>
      <c r="AI11" s="460">
        <f>YEAR($AI$14)</f>
        <v>2029</v>
      </c>
      <c r="AJ11" s="461"/>
      <c r="AK11" s="461"/>
    </row>
    <row r="12" spans="1:37">
      <c r="A12" s="415"/>
      <c r="B12" s="491" t="s">
        <v>313</v>
      </c>
      <c r="C12" s="494">
        <f>MONTH($C$14)</f>
        <v>1</v>
      </c>
      <c r="D12" s="494">
        <f>MONTH($D$14)</f>
        <v>7</v>
      </c>
      <c r="E12" s="493"/>
      <c r="F12" s="493"/>
      <c r="G12" s="421"/>
      <c r="H12" s="426" t="s">
        <v>313</v>
      </c>
      <c r="I12" s="422">
        <f>MONTH($I$14)</f>
        <v>1</v>
      </c>
      <c r="J12" s="422">
        <f>MONTH($J$14)</f>
        <v>7</v>
      </c>
      <c r="K12" s="415"/>
      <c r="L12" s="415"/>
      <c r="M12" s="415"/>
      <c r="N12" s="415"/>
      <c r="O12" s="479" t="s">
        <v>313</v>
      </c>
      <c r="P12" s="472">
        <f>MONTH($P$14)</f>
        <v>7</v>
      </c>
      <c r="Q12" s="472">
        <f>MONTH($Q$14)</f>
        <v>1</v>
      </c>
      <c r="R12" s="471"/>
      <c r="S12" s="471"/>
      <c r="T12" s="415"/>
      <c r="U12" s="479" t="s">
        <v>313</v>
      </c>
      <c r="V12" s="472">
        <f>MONTH($V$14)</f>
        <v>7</v>
      </c>
      <c r="W12" s="472">
        <f>MONTH($W$14)</f>
        <v>1</v>
      </c>
      <c r="X12" s="471"/>
      <c r="Y12" s="471"/>
      <c r="Z12" s="415"/>
      <c r="AA12" s="481" t="s">
        <v>313</v>
      </c>
      <c r="AB12" s="484">
        <f>MONTH($AB$14)</f>
        <v>12</v>
      </c>
      <c r="AC12" s="484">
        <f>MONTH($AC$14)</f>
        <v>3</v>
      </c>
      <c r="AD12" s="483"/>
      <c r="AE12" s="483"/>
      <c r="AG12" s="469" t="s">
        <v>313</v>
      </c>
      <c r="AH12" s="462">
        <f>MONTH($AH$14)</f>
        <v>1</v>
      </c>
      <c r="AI12" s="462">
        <f>MONTH($AI$14)</f>
        <v>7</v>
      </c>
      <c r="AJ12" s="461"/>
      <c r="AK12" s="461"/>
    </row>
    <row r="13" spans="1:37">
      <c r="A13" s="415"/>
      <c r="B13" s="491" t="s">
        <v>314</v>
      </c>
      <c r="C13" s="495" t="str">
        <f>$C$11&amp;TEXT($C$12,"00")</f>
        <v>202301</v>
      </c>
      <c r="D13" s="495" t="str">
        <f>$D$11&amp;TEXT($D$12,"00")</f>
        <v>202907</v>
      </c>
      <c r="E13" s="493"/>
      <c r="F13" s="493"/>
      <c r="G13" s="415"/>
      <c r="H13" s="419" t="s">
        <v>314</v>
      </c>
      <c r="I13" s="427" t="str">
        <f>$I$11&amp;TEXT($I$12,"00")</f>
        <v>202301</v>
      </c>
      <c r="J13" s="427" t="str">
        <f>$J$11&amp;TEXT($J$12,"00")</f>
        <v>202907</v>
      </c>
      <c r="K13" s="415"/>
      <c r="L13" s="415"/>
      <c r="M13" s="415"/>
      <c r="N13" s="415"/>
      <c r="O13" s="479" t="s">
        <v>314</v>
      </c>
      <c r="P13" s="473" t="str">
        <f>$P$11&amp;TEXT($P$12,"00")</f>
        <v>201107</v>
      </c>
      <c r="Q13" s="473" t="str">
        <f>$Q$11&amp;TEXT($Q$12,"00")</f>
        <v>202301</v>
      </c>
      <c r="R13" s="471"/>
      <c r="S13" s="471"/>
      <c r="T13" s="415"/>
      <c r="U13" s="479" t="s">
        <v>314</v>
      </c>
      <c r="V13" s="473" t="str">
        <f>$V$11&amp;TEXT($V$12,"00")</f>
        <v>201807</v>
      </c>
      <c r="W13" s="473" t="str">
        <f>$W$11&amp;TEXT($W$12,"00")</f>
        <v>202301</v>
      </c>
      <c r="X13" s="471"/>
      <c r="Y13" s="471"/>
      <c r="Z13" s="415"/>
      <c r="AA13" s="481" t="s">
        <v>314</v>
      </c>
      <c r="AB13" s="485" t="str">
        <f>$AB$11&amp;TEXT($AB$12,"00")</f>
        <v>202212</v>
      </c>
      <c r="AC13" s="485" t="str">
        <f>$AC$11&amp;TEXT($AC$12,"00")</f>
        <v>202303</v>
      </c>
      <c r="AD13" s="483"/>
      <c r="AE13" s="483"/>
      <c r="AG13" s="469" t="s">
        <v>314</v>
      </c>
      <c r="AH13" s="463" t="str">
        <f>$AH$11&amp;TEXT($AH$12,"00")</f>
        <v>202301</v>
      </c>
      <c r="AI13" s="463" t="str">
        <f>$AI$11&amp;TEXT($AI$12,"00")</f>
        <v>202907</v>
      </c>
      <c r="AJ13" s="461"/>
      <c r="AK13" s="461"/>
    </row>
    <row r="14" spans="1:37">
      <c r="A14" s="415"/>
      <c r="B14" s="491" t="s">
        <v>315</v>
      </c>
      <c r="C14" s="496">
        <f>(PBW!$H$9)</f>
        <v>44927</v>
      </c>
      <c r="D14" s="496">
        <f>(PBW!$H$10)</f>
        <v>47300</v>
      </c>
      <c r="E14" s="493"/>
      <c r="F14" s="493"/>
      <c r="G14" s="415"/>
      <c r="H14" s="419" t="s">
        <v>315</v>
      </c>
      <c r="I14" s="412">
        <f>($C$14)</f>
        <v>44927</v>
      </c>
      <c r="J14" s="412">
        <f>($D$14)</f>
        <v>47300</v>
      </c>
      <c r="K14" s="415"/>
      <c r="L14" s="521">
        <f>($J$15/$I$15)</f>
        <v>1.763652436804036</v>
      </c>
      <c r="M14" s="415"/>
      <c r="N14" s="415"/>
      <c r="O14" s="479" t="s">
        <v>315</v>
      </c>
      <c r="P14" s="474">
        <v>40725</v>
      </c>
      <c r="Q14" s="474">
        <f>($C$14)</f>
        <v>44927</v>
      </c>
      <c r="R14" s="471"/>
      <c r="S14" s="471"/>
      <c r="T14" s="415"/>
      <c r="U14" s="479" t="s">
        <v>315</v>
      </c>
      <c r="V14" s="474">
        <v>43282</v>
      </c>
      <c r="W14" s="474">
        <f>($C$14)</f>
        <v>44927</v>
      </c>
      <c r="X14" s="471"/>
      <c r="Y14" s="471"/>
      <c r="Z14" s="415"/>
      <c r="AA14" s="481" t="s">
        <v>315</v>
      </c>
      <c r="AB14" s="486">
        <v>44896</v>
      </c>
      <c r="AC14" s="486">
        <f>(LOOKUPS!$A$2)</f>
        <v>44986</v>
      </c>
      <c r="AD14" s="483"/>
      <c r="AE14" s="483"/>
      <c r="AG14" s="469" t="s">
        <v>315</v>
      </c>
      <c r="AH14" s="464">
        <f>('Quick Inflation Date Update'!$A$4)</f>
        <v>44927</v>
      </c>
      <c r="AI14" s="464">
        <f>('Quick Inflation Date Update'!$A$5)</f>
        <v>47300</v>
      </c>
      <c r="AJ14" s="461"/>
      <c r="AK14" s="461"/>
    </row>
    <row r="15" spans="1:37">
      <c r="A15" s="415"/>
      <c r="B15" s="491" t="s">
        <v>325</v>
      </c>
      <c r="C15" s="497">
        <f>INDEX($B$19:$M$99,MATCH(C$11,$A$19:$A$99,1),MATCH(C$12,$B$18:$M$18,1))</f>
        <v>7976.68</v>
      </c>
      <c r="D15" s="497">
        <f>INDEX($B$19:$M$99,MATCH(D$11,$A$19:$A$99,1),MATCH(D$12,$B$18:$M$18,1))</f>
        <v>14068.091119606019</v>
      </c>
      <c r="E15" s="498">
        <f>($D$15/$C$15)-1</f>
        <v>0.76365243680403605</v>
      </c>
      <c r="F15" s="499">
        <f>($D$15/$C$15)</f>
        <v>1.763652436804036</v>
      </c>
      <c r="G15" s="415"/>
      <c r="H15" s="419" t="s">
        <v>325</v>
      </c>
      <c r="I15" s="428">
        <f>INDEX($B$19:$M$99,MATCH(I$11,$A$19:$A$99,1),MATCH(I$12,$B$18:$M$18,1))</f>
        <v>7976.68</v>
      </c>
      <c r="J15" s="428">
        <f>INDEX($B$19:$M$99,MATCH(J$11,$A$19:$A$99,1),MATCH(J$12,$B$18:$M$18,1))</f>
        <v>14068.091119606019</v>
      </c>
      <c r="K15" s="411">
        <f>($J$15/$I$15)-1</f>
        <v>0.76365243680403605</v>
      </c>
      <c r="L15" s="520">
        <f>($L$14)</f>
        <v>1.763652436804036</v>
      </c>
      <c r="M15" s="415"/>
      <c r="N15" s="415"/>
      <c r="O15" s="479" t="s">
        <v>325</v>
      </c>
      <c r="P15" s="475">
        <f>INDEX($B$19:$M$99,MATCH(P$11,$A$19:$A$99,1),MATCH(P$12,$B$18:$M$18,1))</f>
        <v>5074</v>
      </c>
      <c r="Q15" s="475">
        <f>INDEX($B$19:$M$99,MATCH(Q$11,$A$19:$A$99,1),MATCH(Q$12,$B$18:$M$18,1))</f>
        <v>7976.68</v>
      </c>
      <c r="R15" s="476">
        <f>($Q$15/$P$15)-1</f>
        <v>0.57206937327552243</v>
      </c>
      <c r="S15" s="477">
        <f>($Q$15/$P$15)</f>
        <v>1.5720693732755224</v>
      </c>
      <c r="T15" s="415"/>
      <c r="U15" s="479" t="s">
        <v>325</v>
      </c>
      <c r="V15" s="475">
        <f>INDEX($B$19:$M$99,MATCH(V$11,$A$19:$A$99,1),MATCH(V$12,$B$18:$M$18,1))</f>
        <v>6042.91</v>
      </c>
      <c r="W15" s="475">
        <f>INDEX($B$19:$M$99,MATCH(W$11,$A$19:$A$99,1),MATCH(W$12,$B$18:$M$18,1))</f>
        <v>7976.68</v>
      </c>
      <c r="X15" s="476">
        <f>($W$15/$V$15)-1</f>
        <v>0.32000642074762009</v>
      </c>
      <c r="Y15" s="477">
        <f>($W$15/$V$15)</f>
        <v>1.3200064207476201</v>
      </c>
      <c r="Z15" s="415"/>
      <c r="AA15" s="481" t="s">
        <v>325</v>
      </c>
      <c r="AB15" s="487">
        <f>INDEX($B$19:$M$99,MATCH(AB$11,$A$19:$A$99,1),MATCH(AB$12,$B$18:$M$18,1))</f>
        <v>7971.96</v>
      </c>
      <c r="AC15" s="487">
        <f>INDEX($B$19:$M$99,MATCH(AC$11,$A$19:$A$99,1),MATCH(AC$12,$B$18:$M$18,1))</f>
        <v>8000.61</v>
      </c>
      <c r="AD15" s="488">
        <f>($AC$15/$AB$15)-1</f>
        <v>3.5938464317433194E-3</v>
      </c>
      <c r="AE15" s="489">
        <f>($AC$15/$AB$15)</f>
        <v>1.0035938464317433</v>
      </c>
      <c r="AG15" s="469" t="s">
        <v>325</v>
      </c>
      <c r="AH15" s="465">
        <f>INDEX($B$19:$M$99,MATCH(AH$11,$A$19:$A$99,1),MATCH(AH$12,$B$18:$M$18,1))</f>
        <v>7976.68</v>
      </c>
      <c r="AI15" s="465">
        <f>INDEX($B$19:$M$99,MATCH(AI$11,$A$19:$A$99,1),MATCH(AI$12,$B$18:$M$18,1))</f>
        <v>14068.091119606019</v>
      </c>
      <c r="AJ15" s="466">
        <f>($AI$15/$AH$15)-1</f>
        <v>0.76365243680403605</v>
      </c>
      <c r="AK15" s="467">
        <f>($AI$15/$AH$15)</f>
        <v>1.763652436804036</v>
      </c>
    </row>
    <row r="16" spans="1:37">
      <c r="A16" s="415"/>
      <c r="B16" s="415"/>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row>
    <row r="17" spans="1:26">
      <c r="A17" s="415"/>
      <c r="B17" s="415"/>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row>
    <row r="18" spans="1:26">
      <c r="A18" s="429"/>
      <c r="B18" s="430">
        <v>1</v>
      </c>
      <c r="C18" s="430">
        <v>2</v>
      </c>
      <c r="D18" s="430">
        <v>3</v>
      </c>
      <c r="E18" s="430">
        <v>4</v>
      </c>
      <c r="F18" s="430">
        <v>5</v>
      </c>
      <c r="G18" s="430">
        <v>6</v>
      </c>
      <c r="H18" s="430">
        <v>7</v>
      </c>
      <c r="I18" s="430">
        <v>8</v>
      </c>
      <c r="J18" s="430">
        <v>9</v>
      </c>
      <c r="K18" s="430">
        <v>10</v>
      </c>
      <c r="L18" s="430">
        <v>11</v>
      </c>
      <c r="M18" s="430">
        <v>12</v>
      </c>
      <c r="N18" s="415"/>
      <c r="O18" s="430">
        <v>1</v>
      </c>
      <c r="P18" s="430">
        <v>2</v>
      </c>
      <c r="Q18" s="430">
        <v>3</v>
      </c>
      <c r="R18" s="430">
        <v>4</v>
      </c>
      <c r="S18" s="430">
        <v>5</v>
      </c>
      <c r="T18" s="430">
        <v>6</v>
      </c>
      <c r="U18" s="430">
        <v>7</v>
      </c>
      <c r="V18" s="430">
        <v>8</v>
      </c>
      <c r="W18" s="430">
        <v>9</v>
      </c>
      <c r="X18" s="430">
        <v>10</v>
      </c>
      <c r="Y18" s="430">
        <v>11</v>
      </c>
      <c r="Z18" s="430">
        <v>12</v>
      </c>
    </row>
    <row r="19" spans="1:26">
      <c r="A19" s="431">
        <v>1990</v>
      </c>
      <c r="B19" s="432">
        <v>2664</v>
      </c>
      <c r="C19" s="432">
        <v>2668</v>
      </c>
      <c r="D19" s="432">
        <v>2673</v>
      </c>
      <c r="E19" s="432">
        <v>2676</v>
      </c>
      <c r="F19" s="432">
        <v>2691</v>
      </c>
      <c r="G19" s="432">
        <v>2715</v>
      </c>
      <c r="H19" s="432">
        <v>2716</v>
      </c>
      <c r="I19" s="432">
        <v>2716</v>
      </c>
      <c r="J19" s="432">
        <v>2730</v>
      </c>
      <c r="K19" s="432">
        <v>2728</v>
      </c>
      <c r="L19" s="432">
        <v>2730</v>
      </c>
      <c r="M19" s="432">
        <v>2720</v>
      </c>
      <c r="N19" s="415"/>
      <c r="O19" s="433" t="str">
        <f>$A19&amp;TEXT(B$18,"00")</f>
        <v>199001</v>
      </c>
      <c r="P19" s="433" t="str">
        <f t="shared" ref="P19:Z34" si="0">$A19&amp;TEXT(C$18,"00")</f>
        <v>199002</v>
      </c>
      <c r="Q19" s="433" t="str">
        <f t="shared" si="0"/>
        <v>199003</v>
      </c>
      <c r="R19" s="433" t="str">
        <f t="shared" si="0"/>
        <v>199004</v>
      </c>
      <c r="S19" s="433" t="str">
        <f t="shared" si="0"/>
        <v>199005</v>
      </c>
      <c r="T19" s="433" t="str">
        <f t="shared" si="0"/>
        <v>199006</v>
      </c>
      <c r="U19" s="433" t="str">
        <f t="shared" si="0"/>
        <v>199007</v>
      </c>
      <c r="V19" s="433" t="str">
        <f t="shared" si="0"/>
        <v>199008</v>
      </c>
      <c r="W19" s="433" t="str">
        <f t="shared" si="0"/>
        <v>199009</v>
      </c>
      <c r="X19" s="433" t="str">
        <f t="shared" si="0"/>
        <v>199010</v>
      </c>
      <c r="Y19" s="433" t="str">
        <f t="shared" si="0"/>
        <v>199011</v>
      </c>
      <c r="Z19" s="433" t="str">
        <f t="shared" si="0"/>
        <v>199012</v>
      </c>
    </row>
    <row r="20" spans="1:26">
      <c r="A20" s="434">
        <v>1991</v>
      </c>
      <c r="B20" s="435">
        <v>2720</v>
      </c>
      <c r="C20" s="435">
        <v>2716</v>
      </c>
      <c r="D20" s="435">
        <v>2715</v>
      </c>
      <c r="E20" s="435">
        <v>2709</v>
      </c>
      <c r="F20" s="435">
        <v>2723</v>
      </c>
      <c r="G20" s="435">
        <v>2733</v>
      </c>
      <c r="H20" s="435">
        <v>2757</v>
      </c>
      <c r="I20" s="435">
        <v>2792</v>
      </c>
      <c r="J20" s="435">
        <v>2785</v>
      </c>
      <c r="K20" s="435">
        <v>2786</v>
      </c>
      <c r="L20" s="435">
        <v>2791</v>
      </c>
      <c r="M20" s="435">
        <v>2784</v>
      </c>
      <c r="N20" s="415"/>
      <c r="O20" s="436" t="str">
        <f t="shared" ref="O20:Z54" si="1">$A20&amp;TEXT(B$18,"00")</f>
        <v>199101</v>
      </c>
      <c r="P20" s="436" t="str">
        <f t="shared" si="0"/>
        <v>199102</v>
      </c>
      <c r="Q20" s="436" t="str">
        <f t="shared" si="0"/>
        <v>199103</v>
      </c>
      <c r="R20" s="436" t="str">
        <f t="shared" si="0"/>
        <v>199104</v>
      </c>
      <c r="S20" s="436" t="str">
        <f t="shared" si="0"/>
        <v>199105</v>
      </c>
      <c r="T20" s="436" t="str">
        <f t="shared" si="0"/>
        <v>199106</v>
      </c>
      <c r="U20" s="436" t="str">
        <f t="shared" si="0"/>
        <v>199107</v>
      </c>
      <c r="V20" s="436" t="str">
        <f t="shared" si="0"/>
        <v>199108</v>
      </c>
      <c r="W20" s="436" t="str">
        <f t="shared" si="0"/>
        <v>199109</v>
      </c>
      <c r="X20" s="436" t="str">
        <f t="shared" si="0"/>
        <v>199110</v>
      </c>
      <c r="Y20" s="436" t="str">
        <f t="shared" si="0"/>
        <v>199111</v>
      </c>
      <c r="Z20" s="436" t="str">
        <f t="shared" si="0"/>
        <v>199112</v>
      </c>
    </row>
    <row r="21" spans="1:26">
      <c r="A21" s="434">
        <v>1992</v>
      </c>
      <c r="B21" s="435">
        <v>2784</v>
      </c>
      <c r="C21" s="435">
        <v>2775</v>
      </c>
      <c r="D21" s="435">
        <v>2799</v>
      </c>
      <c r="E21" s="435">
        <v>2809</v>
      </c>
      <c r="F21" s="435">
        <v>2828</v>
      </c>
      <c r="G21" s="435">
        <v>2838</v>
      </c>
      <c r="H21" s="435">
        <v>2845</v>
      </c>
      <c r="I21" s="435">
        <v>2854</v>
      </c>
      <c r="J21" s="435">
        <v>2857</v>
      </c>
      <c r="K21" s="435">
        <v>2867</v>
      </c>
      <c r="L21" s="435">
        <v>2873</v>
      </c>
      <c r="M21" s="435">
        <v>2875</v>
      </c>
      <c r="N21" s="415"/>
      <c r="O21" s="436" t="str">
        <f t="shared" si="1"/>
        <v>199201</v>
      </c>
      <c r="P21" s="436" t="str">
        <f t="shared" si="0"/>
        <v>199202</v>
      </c>
      <c r="Q21" s="436" t="str">
        <f t="shared" si="0"/>
        <v>199203</v>
      </c>
      <c r="R21" s="436" t="str">
        <f t="shared" si="0"/>
        <v>199204</v>
      </c>
      <c r="S21" s="436" t="str">
        <f t="shared" si="0"/>
        <v>199205</v>
      </c>
      <c r="T21" s="436" t="str">
        <f t="shared" si="0"/>
        <v>199206</v>
      </c>
      <c r="U21" s="436" t="str">
        <f t="shared" si="0"/>
        <v>199207</v>
      </c>
      <c r="V21" s="436" t="str">
        <f t="shared" si="0"/>
        <v>199208</v>
      </c>
      <c r="W21" s="436" t="str">
        <f t="shared" si="0"/>
        <v>199209</v>
      </c>
      <c r="X21" s="436" t="str">
        <f t="shared" si="0"/>
        <v>199210</v>
      </c>
      <c r="Y21" s="436" t="str">
        <f t="shared" si="0"/>
        <v>199211</v>
      </c>
      <c r="Z21" s="436" t="str">
        <f t="shared" si="0"/>
        <v>199212</v>
      </c>
    </row>
    <row r="22" spans="1:26">
      <c r="A22" s="434">
        <v>1993</v>
      </c>
      <c r="B22" s="435">
        <v>2886</v>
      </c>
      <c r="C22" s="435">
        <v>2886</v>
      </c>
      <c r="D22" s="435">
        <v>2915</v>
      </c>
      <c r="E22" s="435">
        <v>2976</v>
      </c>
      <c r="F22" s="435">
        <v>3071</v>
      </c>
      <c r="G22" s="435">
        <v>3066</v>
      </c>
      <c r="H22" s="435">
        <v>3038</v>
      </c>
      <c r="I22" s="435">
        <v>3014</v>
      </c>
      <c r="J22" s="435">
        <v>3009</v>
      </c>
      <c r="K22" s="435">
        <v>3016</v>
      </c>
      <c r="L22" s="435">
        <v>3029</v>
      </c>
      <c r="M22" s="435">
        <v>3046</v>
      </c>
      <c r="N22" s="415"/>
      <c r="O22" s="436" t="str">
        <f t="shared" si="1"/>
        <v>199301</v>
      </c>
      <c r="P22" s="436" t="str">
        <f t="shared" si="0"/>
        <v>199302</v>
      </c>
      <c r="Q22" s="436" t="str">
        <f t="shared" si="0"/>
        <v>199303</v>
      </c>
      <c r="R22" s="436" t="str">
        <f t="shared" si="0"/>
        <v>199304</v>
      </c>
      <c r="S22" s="436" t="str">
        <f t="shared" si="0"/>
        <v>199305</v>
      </c>
      <c r="T22" s="436" t="str">
        <f t="shared" si="0"/>
        <v>199306</v>
      </c>
      <c r="U22" s="436" t="str">
        <f t="shared" si="0"/>
        <v>199307</v>
      </c>
      <c r="V22" s="436" t="str">
        <f t="shared" si="0"/>
        <v>199308</v>
      </c>
      <c r="W22" s="436" t="str">
        <f t="shared" si="0"/>
        <v>199309</v>
      </c>
      <c r="X22" s="436" t="str">
        <f t="shared" si="0"/>
        <v>199310</v>
      </c>
      <c r="Y22" s="436" t="str">
        <f t="shared" si="0"/>
        <v>199311</v>
      </c>
      <c r="Z22" s="436" t="str">
        <f t="shared" si="0"/>
        <v>199312</v>
      </c>
    </row>
    <row r="23" spans="1:26">
      <c r="A23" s="434">
        <v>1994</v>
      </c>
      <c r="B23" s="435">
        <v>3071</v>
      </c>
      <c r="C23" s="435">
        <v>3106</v>
      </c>
      <c r="D23" s="435">
        <v>3116</v>
      </c>
      <c r="E23" s="435">
        <v>3127</v>
      </c>
      <c r="F23" s="435">
        <v>3125</v>
      </c>
      <c r="G23" s="435">
        <v>3115</v>
      </c>
      <c r="H23" s="435">
        <v>3107</v>
      </c>
      <c r="I23" s="435">
        <v>3109</v>
      </c>
      <c r="J23" s="435">
        <v>3116</v>
      </c>
      <c r="K23" s="435">
        <v>3116</v>
      </c>
      <c r="L23" s="435">
        <v>3109</v>
      </c>
      <c r="M23" s="435">
        <v>3110</v>
      </c>
      <c r="N23" s="415"/>
      <c r="O23" s="436" t="str">
        <f t="shared" si="1"/>
        <v>199401</v>
      </c>
      <c r="P23" s="436" t="str">
        <f t="shared" si="0"/>
        <v>199402</v>
      </c>
      <c r="Q23" s="436" t="str">
        <f t="shared" si="0"/>
        <v>199403</v>
      </c>
      <c r="R23" s="436" t="str">
        <f t="shared" si="0"/>
        <v>199404</v>
      </c>
      <c r="S23" s="436" t="str">
        <f t="shared" si="0"/>
        <v>199405</v>
      </c>
      <c r="T23" s="436" t="str">
        <f t="shared" si="0"/>
        <v>199406</v>
      </c>
      <c r="U23" s="436" t="str">
        <f t="shared" si="0"/>
        <v>199407</v>
      </c>
      <c r="V23" s="436" t="str">
        <f t="shared" si="0"/>
        <v>199408</v>
      </c>
      <c r="W23" s="436" t="str">
        <f t="shared" si="0"/>
        <v>199409</v>
      </c>
      <c r="X23" s="436" t="str">
        <f t="shared" si="0"/>
        <v>199410</v>
      </c>
      <c r="Y23" s="436" t="str">
        <f t="shared" si="0"/>
        <v>199411</v>
      </c>
      <c r="Z23" s="436" t="str">
        <f t="shared" si="0"/>
        <v>199412</v>
      </c>
    </row>
    <row r="24" spans="1:26">
      <c r="A24" s="434">
        <v>1995</v>
      </c>
      <c r="B24" s="435">
        <v>3112</v>
      </c>
      <c r="C24" s="435">
        <v>3111</v>
      </c>
      <c r="D24" s="435">
        <v>3103</v>
      </c>
      <c r="E24" s="435">
        <v>3100</v>
      </c>
      <c r="F24" s="435">
        <v>3096</v>
      </c>
      <c r="G24" s="435">
        <v>3095</v>
      </c>
      <c r="H24" s="435">
        <v>3114</v>
      </c>
      <c r="I24" s="435">
        <v>3121</v>
      </c>
      <c r="J24" s="435">
        <v>3109</v>
      </c>
      <c r="K24" s="435">
        <v>3117</v>
      </c>
      <c r="L24" s="435">
        <v>3131</v>
      </c>
      <c r="M24" s="435">
        <v>3128</v>
      </c>
      <c r="N24" s="415"/>
      <c r="O24" s="436" t="str">
        <f t="shared" si="1"/>
        <v>199501</v>
      </c>
      <c r="P24" s="436" t="str">
        <f t="shared" si="0"/>
        <v>199502</v>
      </c>
      <c r="Q24" s="436" t="str">
        <f t="shared" si="0"/>
        <v>199503</v>
      </c>
      <c r="R24" s="436" t="str">
        <f t="shared" si="0"/>
        <v>199504</v>
      </c>
      <c r="S24" s="436" t="str">
        <f t="shared" si="0"/>
        <v>199505</v>
      </c>
      <c r="T24" s="436" t="str">
        <f t="shared" si="0"/>
        <v>199506</v>
      </c>
      <c r="U24" s="436" t="str">
        <f t="shared" si="0"/>
        <v>199507</v>
      </c>
      <c r="V24" s="436" t="str">
        <f t="shared" si="0"/>
        <v>199508</v>
      </c>
      <c r="W24" s="436" t="str">
        <f t="shared" si="0"/>
        <v>199509</v>
      </c>
      <c r="X24" s="436" t="str">
        <f t="shared" si="0"/>
        <v>199510</v>
      </c>
      <c r="Y24" s="436" t="str">
        <f t="shared" si="0"/>
        <v>199511</v>
      </c>
      <c r="Z24" s="436" t="str">
        <f t="shared" si="0"/>
        <v>199512</v>
      </c>
    </row>
    <row r="25" spans="1:26">
      <c r="A25" s="434">
        <v>1996</v>
      </c>
      <c r="B25" s="435">
        <v>3127</v>
      </c>
      <c r="C25" s="435">
        <v>3131</v>
      </c>
      <c r="D25" s="435">
        <v>3135</v>
      </c>
      <c r="E25" s="435">
        <v>3148</v>
      </c>
      <c r="F25" s="435">
        <v>3161</v>
      </c>
      <c r="G25" s="435">
        <v>3178</v>
      </c>
      <c r="H25" s="435">
        <v>3190</v>
      </c>
      <c r="I25" s="435">
        <v>3223</v>
      </c>
      <c r="J25" s="435">
        <v>3246</v>
      </c>
      <c r="K25" s="435">
        <v>3284</v>
      </c>
      <c r="L25" s="435">
        <v>3304</v>
      </c>
      <c r="M25" s="435">
        <v>3311</v>
      </c>
      <c r="N25" s="415"/>
      <c r="O25" s="436" t="str">
        <f t="shared" si="1"/>
        <v>199601</v>
      </c>
      <c r="P25" s="436" t="str">
        <f t="shared" si="0"/>
        <v>199602</v>
      </c>
      <c r="Q25" s="436" t="str">
        <f t="shared" si="0"/>
        <v>199603</v>
      </c>
      <c r="R25" s="436" t="str">
        <f t="shared" si="0"/>
        <v>199604</v>
      </c>
      <c r="S25" s="436" t="str">
        <f t="shared" si="0"/>
        <v>199605</v>
      </c>
      <c r="T25" s="436" t="str">
        <f t="shared" si="0"/>
        <v>199606</v>
      </c>
      <c r="U25" s="436" t="str">
        <f t="shared" si="0"/>
        <v>199607</v>
      </c>
      <c r="V25" s="436" t="str">
        <f t="shared" si="0"/>
        <v>199608</v>
      </c>
      <c r="W25" s="436" t="str">
        <f t="shared" si="0"/>
        <v>199609</v>
      </c>
      <c r="X25" s="436" t="str">
        <f t="shared" si="0"/>
        <v>199610</v>
      </c>
      <c r="Y25" s="436" t="str">
        <f t="shared" si="0"/>
        <v>199611</v>
      </c>
      <c r="Z25" s="436" t="str">
        <f t="shared" si="0"/>
        <v>199612</v>
      </c>
    </row>
    <row r="26" spans="1:26">
      <c r="A26" s="434">
        <v>1997</v>
      </c>
      <c r="B26" s="435">
        <v>3332</v>
      </c>
      <c r="C26" s="435">
        <v>3333</v>
      </c>
      <c r="D26" s="435">
        <v>3323</v>
      </c>
      <c r="E26" s="435">
        <v>3364</v>
      </c>
      <c r="F26" s="435">
        <v>3377</v>
      </c>
      <c r="G26" s="435">
        <v>3396</v>
      </c>
      <c r="H26" s="435">
        <v>3392</v>
      </c>
      <c r="I26" s="435">
        <v>3385</v>
      </c>
      <c r="J26" s="435">
        <v>3378</v>
      </c>
      <c r="K26" s="435">
        <v>3372</v>
      </c>
      <c r="L26" s="435">
        <v>3350</v>
      </c>
      <c r="M26" s="435">
        <v>3370</v>
      </c>
      <c r="N26" s="415"/>
      <c r="O26" s="436" t="str">
        <f t="shared" si="1"/>
        <v>199701</v>
      </c>
      <c r="P26" s="436" t="str">
        <f t="shared" si="0"/>
        <v>199702</v>
      </c>
      <c r="Q26" s="436" t="str">
        <f t="shared" si="0"/>
        <v>199703</v>
      </c>
      <c r="R26" s="436" t="str">
        <f t="shared" si="0"/>
        <v>199704</v>
      </c>
      <c r="S26" s="436" t="str">
        <f t="shared" si="0"/>
        <v>199705</v>
      </c>
      <c r="T26" s="436" t="str">
        <f t="shared" si="0"/>
        <v>199706</v>
      </c>
      <c r="U26" s="436" t="str">
        <f t="shared" si="0"/>
        <v>199707</v>
      </c>
      <c r="V26" s="436" t="str">
        <f t="shared" si="0"/>
        <v>199708</v>
      </c>
      <c r="W26" s="436" t="str">
        <f t="shared" si="0"/>
        <v>199709</v>
      </c>
      <c r="X26" s="436" t="str">
        <f t="shared" si="0"/>
        <v>199710</v>
      </c>
      <c r="Y26" s="436" t="str">
        <f t="shared" si="0"/>
        <v>199711</v>
      </c>
      <c r="Z26" s="436" t="str">
        <f t="shared" si="0"/>
        <v>199712</v>
      </c>
    </row>
    <row r="27" spans="1:26">
      <c r="A27" s="434">
        <v>1998</v>
      </c>
      <c r="B27" s="435">
        <v>3363</v>
      </c>
      <c r="C27" s="435">
        <v>3372</v>
      </c>
      <c r="D27" s="435">
        <v>3368</v>
      </c>
      <c r="E27" s="435">
        <v>3375</v>
      </c>
      <c r="F27" s="435">
        <v>3374</v>
      </c>
      <c r="G27" s="435">
        <v>3379</v>
      </c>
      <c r="H27" s="435">
        <v>3382</v>
      </c>
      <c r="I27" s="435">
        <v>3391</v>
      </c>
      <c r="J27" s="435">
        <v>3414</v>
      </c>
      <c r="K27" s="435">
        <v>3423</v>
      </c>
      <c r="L27" s="435">
        <v>3424</v>
      </c>
      <c r="M27" s="435">
        <v>3419</v>
      </c>
      <c r="N27" s="415"/>
      <c r="O27" s="436" t="str">
        <f t="shared" si="1"/>
        <v>199801</v>
      </c>
      <c r="P27" s="436" t="str">
        <f t="shared" si="0"/>
        <v>199802</v>
      </c>
      <c r="Q27" s="436" t="str">
        <f t="shared" si="0"/>
        <v>199803</v>
      </c>
      <c r="R27" s="436" t="str">
        <f t="shared" si="0"/>
        <v>199804</v>
      </c>
      <c r="S27" s="436" t="str">
        <f t="shared" si="0"/>
        <v>199805</v>
      </c>
      <c r="T27" s="436" t="str">
        <f t="shared" si="0"/>
        <v>199806</v>
      </c>
      <c r="U27" s="436" t="str">
        <f t="shared" si="0"/>
        <v>199807</v>
      </c>
      <c r="V27" s="436" t="str">
        <f t="shared" si="0"/>
        <v>199808</v>
      </c>
      <c r="W27" s="436" t="str">
        <f t="shared" si="0"/>
        <v>199809</v>
      </c>
      <c r="X27" s="436" t="str">
        <f t="shared" si="0"/>
        <v>199810</v>
      </c>
      <c r="Y27" s="436" t="str">
        <f t="shared" si="0"/>
        <v>199811</v>
      </c>
      <c r="Z27" s="436" t="str">
        <f t="shared" si="0"/>
        <v>199812</v>
      </c>
    </row>
    <row r="28" spans="1:26">
      <c r="A28" s="434">
        <v>1999</v>
      </c>
      <c r="B28" s="435">
        <v>3425</v>
      </c>
      <c r="C28" s="435">
        <v>3417</v>
      </c>
      <c r="D28" s="435">
        <v>3411</v>
      </c>
      <c r="E28" s="435">
        <v>3421</v>
      </c>
      <c r="F28" s="435">
        <v>3422</v>
      </c>
      <c r="G28" s="435">
        <v>3433</v>
      </c>
      <c r="H28" s="435">
        <v>3460</v>
      </c>
      <c r="I28" s="435">
        <v>3474</v>
      </c>
      <c r="J28" s="435">
        <v>3504</v>
      </c>
      <c r="K28" s="435">
        <v>3505</v>
      </c>
      <c r="L28" s="435">
        <v>3498</v>
      </c>
      <c r="M28" s="435">
        <v>3497</v>
      </c>
      <c r="N28" s="415"/>
      <c r="O28" s="436" t="str">
        <f t="shared" si="1"/>
        <v>199901</v>
      </c>
      <c r="P28" s="436" t="str">
        <f t="shared" si="0"/>
        <v>199902</v>
      </c>
      <c r="Q28" s="436" t="str">
        <f t="shared" si="0"/>
        <v>199903</v>
      </c>
      <c r="R28" s="436" t="str">
        <f t="shared" si="0"/>
        <v>199904</v>
      </c>
      <c r="S28" s="436" t="str">
        <f t="shared" si="0"/>
        <v>199905</v>
      </c>
      <c r="T28" s="436" t="str">
        <f t="shared" si="0"/>
        <v>199906</v>
      </c>
      <c r="U28" s="436" t="str">
        <f t="shared" si="0"/>
        <v>199907</v>
      </c>
      <c r="V28" s="436" t="str">
        <f t="shared" si="0"/>
        <v>199908</v>
      </c>
      <c r="W28" s="436" t="str">
        <f t="shared" si="0"/>
        <v>199909</v>
      </c>
      <c r="X28" s="436" t="str">
        <f t="shared" si="0"/>
        <v>199910</v>
      </c>
      <c r="Y28" s="436" t="str">
        <f t="shared" si="0"/>
        <v>199911</v>
      </c>
      <c r="Z28" s="436" t="str">
        <f t="shared" si="0"/>
        <v>199912</v>
      </c>
    </row>
    <row r="29" spans="1:26">
      <c r="A29" s="434">
        <v>2000</v>
      </c>
      <c r="B29" s="435">
        <v>3503</v>
      </c>
      <c r="C29" s="435">
        <v>3523</v>
      </c>
      <c r="D29" s="435">
        <v>3536</v>
      </c>
      <c r="E29" s="435">
        <v>3534</v>
      </c>
      <c r="F29" s="435">
        <v>3558</v>
      </c>
      <c r="G29" s="435">
        <v>3553</v>
      </c>
      <c r="H29" s="435">
        <v>3545</v>
      </c>
      <c r="I29" s="435">
        <v>3546</v>
      </c>
      <c r="J29" s="435">
        <v>3539</v>
      </c>
      <c r="K29" s="435">
        <v>3547</v>
      </c>
      <c r="L29" s="435">
        <v>3541</v>
      </c>
      <c r="M29" s="435">
        <v>3548</v>
      </c>
      <c r="N29" s="415"/>
      <c r="O29" s="436" t="str">
        <f t="shared" si="1"/>
        <v>200001</v>
      </c>
      <c r="P29" s="436" t="str">
        <f t="shared" si="0"/>
        <v>200002</v>
      </c>
      <c r="Q29" s="436" t="str">
        <f t="shared" si="0"/>
        <v>200003</v>
      </c>
      <c r="R29" s="436" t="str">
        <f t="shared" si="0"/>
        <v>200004</v>
      </c>
      <c r="S29" s="436" t="str">
        <f t="shared" si="0"/>
        <v>200005</v>
      </c>
      <c r="T29" s="436" t="str">
        <f t="shared" si="0"/>
        <v>200006</v>
      </c>
      <c r="U29" s="436" t="str">
        <f t="shared" si="0"/>
        <v>200007</v>
      </c>
      <c r="V29" s="436" t="str">
        <f t="shared" si="0"/>
        <v>200008</v>
      </c>
      <c r="W29" s="436" t="str">
        <f t="shared" si="0"/>
        <v>200009</v>
      </c>
      <c r="X29" s="436" t="str">
        <f t="shared" si="0"/>
        <v>200010</v>
      </c>
      <c r="Y29" s="436" t="str">
        <f t="shared" si="0"/>
        <v>200011</v>
      </c>
      <c r="Z29" s="436" t="str">
        <f t="shared" si="0"/>
        <v>200012</v>
      </c>
    </row>
    <row r="30" spans="1:26">
      <c r="A30" s="434">
        <v>2001</v>
      </c>
      <c r="B30" s="435">
        <v>3545</v>
      </c>
      <c r="C30" s="435">
        <v>3536</v>
      </c>
      <c r="D30" s="435">
        <v>3541</v>
      </c>
      <c r="E30" s="435">
        <v>3541</v>
      </c>
      <c r="F30" s="435">
        <v>3547</v>
      </c>
      <c r="G30" s="435">
        <v>3572</v>
      </c>
      <c r="H30" s="435">
        <v>3625</v>
      </c>
      <c r="I30" s="435">
        <v>3605</v>
      </c>
      <c r="J30" s="435">
        <v>3597</v>
      </c>
      <c r="K30" s="435">
        <v>3602</v>
      </c>
      <c r="L30" s="435">
        <v>3596</v>
      </c>
      <c r="M30" s="435">
        <v>3577</v>
      </c>
      <c r="N30" s="415"/>
      <c r="O30" s="436" t="str">
        <f t="shared" si="1"/>
        <v>200101</v>
      </c>
      <c r="P30" s="436" t="str">
        <f t="shared" si="0"/>
        <v>200102</v>
      </c>
      <c r="Q30" s="436" t="str">
        <f t="shared" si="0"/>
        <v>200103</v>
      </c>
      <c r="R30" s="436" t="str">
        <f t="shared" si="0"/>
        <v>200104</v>
      </c>
      <c r="S30" s="436" t="str">
        <f t="shared" si="0"/>
        <v>200105</v>
      </c>
      <c r="T30" s="436" t="str">
        <f t="shared" si="0"/>
        <v>200106</v>
      </c>
      <c r="U30" s="436" t="str">
        <f t="shared" si="0"/>
        <v>200107</v>
      </c>
      <c r="V30" s="436" t="str">
        <f t="shared" si="0"/>
        <v>200108</v>
      </c>
      <c r="W30" s="436" t="str">
        <f t="shared" si="0"/>
        <v>200109</v>
      </c>
      <c r="X30" s="436" t="str">
        <f t="shared" si="0"/>
        <v>200110</v>
      </c>
      <c r="Y30" s="436" t="str">
        <f t="shared" si="0"/>
        <v>200111</v>
      </c>
      <c r="Z30" s="436" t="str">
        <f t="shared" si="0"/>
        <v>200112</v>
      </c>
    </row>
    <row r="31" spans="1:26">
      <c r="A31" s="434">
        <v>2002</v>
      </c>
      <c r="B31" s="435">
        <v>3581</v>
      </c>
      <c r="C31" s="435">
        <v>3581</v>
      </c>
      <c r="D31" s="435">
        <v>3597</v>
      </c>
      <c r="E31" s="435">
        <v>3583</v>
      </c>
      <c r="F31" s="435">
        <v>3612</v>
      </c>
      <c r="G31" s="435">
        <v>3624</v>
      </c>
      <c r="H31" s="435">
        <v>3652</v>
      </c>
      <c r="I31" s="435">
        <v>3648</v>
      </c>
      <c r="J31" s="435">
        <v>3655</v>
      </c>
      <c r="K31" s="435">
        <v>3651</v>
      </c>
      <c r="L31" s="435">
        <v>3654</v>
      </c>
      <c r="M31" s="435">
        <v>3640</v>
      </c>
      <c r="N31" s="415"/>
      <c r="O31" s="436" t="str">
        <f t="shared" si="1"/>
        <v>200201</v>
      </c>
      <c r="P31" s="436" t="str">
        <f t="shared" si="0"/>
        <v>200202</v>
      </c>
      <c r="Q31" s="436" t="str">
        <f t="shared" si="0"/>
        <v>200203</v>
      </c>
      <c r="R31" s="436" t="str">
        <f t="shared" si="0"/>
        <v>200204</v>
      </c>
      <c r="S31" s="436" t="str">
        <f t="shared" si="0"/>
        <v>200205</v>
      </c>
      <c r="T31" s="436" t="str">
        <f t="shared" si="0"/>
        <v>200206</v>
      </c>
      <c r="U31" s="436" t="str">
        <f t="shared" si="0"/>
        <v>200207</v>
      </c>
      <c r="V31" s="436" t="str">
        <f t="shared" si="0"/>
        <v>200208</v>
      </c>
      <c r="W31" s="436" t="str">
        <f t="shared" si="0"/>
        <v>200209</v>
      </c>
      <c r="X31" s="436" t="str">
        <f t="shared" si="0"/>
        <v>200210</v>
      </c>
      <c r="Y31" s="436" t="str">
        <f t="shared" si="0"/>
        <v>200211</v>
      </c>
      <c r="Z31" s="436" t="str">
        <f t="shared" si="0"/>
        <v>200212</v>
      </c>
    </row>
    <row r="32" spans="1:26">
      <c r="A32" s="434">
        <v>2003</v>
      </c>
      <c r="B32" s="435">
        <v>3648</v>
      </c>
      <c r="C32" s="435">
        <v>3655</v>
      </c>
      <c r="D32" s="435">
        <v>3649</v>
      </c>
      <c r="E32" s="435">
        <v>3652</v>
      </c>
      <c r="F32" s="435">
        <v>3660</v>
      </c>
      <c r="G32" s="435">
        <v>3677</v>
      </c>
      <c r="H32" s="435">
        <v>3683</v>
      </c>
      <c r="I32" s="435">
        <v>3712</v>
      </c>
      <c r="J32" s="435">
        <v>3717</v>
      </c>
      <c r="K32" s="435">
        <v>3745</v>
      </c>
      <c r="L32" s="435">
        <v>3765</v>
      </c>
      <c r="M32" s="435">
        <v>3757</v>
      </c>
      <c r="N32" s="415"/>
      <c r="O32" s="436" t="str">
        <f t="shared" si="1"/>
        <v>200301</v>
      </c>
      <c r="P32" s="436" t="str">
        <f t="shared" si="0"/>
        <v>200302</v>
      </c>
      <c r="Q32" s="436" t="str">
        <f t="shared" si="0"/>
        <v>200303</v>
      </c>
      <c r="R32" s="436" t="str">
        <f t="shared" si="0"/>
        <v>200304</v>
      </c>
      <c r="S32" s="436" t="str">
        <f t="shared" si="0"/>
        <v>200305</v>
      </c>
      <c r="T32" s="436" t="str">
        <f t="shared" si="0"/>
        <v>200306</v>
      </c>
      <c r="U32" s="436" t="str">
        <f t="shared" si="0"/>
        <v>200307</v>
      </c>
      <c r="V32" s="436" t="str">
        <f t="shared" si="0"/>
        <v>200308</v>
      </c>
      <c r="W32" s="436" t="str">
        <f t="shared" si="0"/>
        <v>200309</v>
      </c>
      <c r="X32" s="436" t="str">
        <f t="shared" si="0"/>
        <v>200310</v>
      </c>
      <c r="Y32" s="436" t="str">
        <f t="shared" si="0"/>
        <v>200311</v>
      </c>
      <c r="Z32" s="436" t="str">
        <f t="shared" si="0"/>
        <v>200312</v>
      </c>
    </row>
    <row r="33" spans="1:26">
      <c r="A33" s="434">
        <v>2004</v>
      </c>
      <c r="B33" s="435">
        <v>3767</v>
      </c>
      <c r="C33" s="435">
        <v>3802</v>
      </c>
      <c r="D33" s="435">
        <v>3859</v>
      </c>
      <c r="E33" s="435">
        <v>3908</v>
      </c>
      <c r="F33" s="435">
        <v>3956</v>
      </c>
      <c r="G33" s="435">
        <v>3996</v>
      </c>
      <c r="H33" s="435">
        <v>4013</v>
      </c>
      <c r="I33" s="435">
        <v>4027</v>
      </c>
      <c r="J33" s="435">
        <v>4102</v>
      </c>
      <c r="K33" s="435">
        <v>4129</v>
      </c>
      <c r="L33" s="435">
        <v>4128</v>
      </c>
      <c r="M33" s="435">
        <v>4123</v>
      </c>
      <c r="N33" s="415"/>
      <c r="O33" s="436" t="str">
        <f t="shared" si="1"/>
        <v>200401</v>
      </c>
      <c r="P33" s="436" t="str">
        <f t="shared" si="0"/>
        <v>200402</v>
      </c>
      <c r="Q33" s="436" t="str">
        <f t="shared" si="0"/>
        <v>200403</v>
      </c>
      <c r="R33" s="436" t="str">
        <f t="shared" si="0"/>
        <v>200404</v>
      </c>
      <c r="S33" s="436" t="str">
        <f t="shared" si="0"/>
        <v>200405</v>
      </c>
      <c r="T33" s="436" t="str">
        <f t="shared" si="0"/>
        <v>200406</v>
      </c>
      <c r="U33" s="436" t="str">
        <f t="shared" si="0"/>
        <v>200407</v>
      </c>
      <c r="V33" s="436" t="str">
        <f t="shared" si="0"/>
        <v>200408</v>
      </c>
      <c r="W33" s="436" t="str">
        <f t="shared" si="0"/>
        <v>200409</v>
      </c>
      <c r="X33" s="436" t="str">
        <f t="shared" si="0"/>
        <v>200410</v>
      </c>
      <c r="Y33" s="436" t="str">
        <f t="shared" si="0"/>
        <v>200411</v>
      </c>
      <c r="Z33" s="436" t="str">
        <f t="shared" si="0"/>
        <v>200412</v>
      </c>
    </row>
    <row r="34" spans="1:26">
      <c r="A34" s="434">
        <v>2005</v>
      </c>
      <c r="B34" s="435">
        <v>4112</v>
      </c>
      <c r="C34" s="435">
        <v>4116</v>
      </c>
      <c r="D34" s="435">
        <v>4127</v>
      </c>
      <c r="E34" s="435">
        <v>4168</v>
      </c>
      <c r="F34" s="435">
        <v>4189</v>
      </c>
      <c r="G34" s="435">
        <v>4195</v>
      </c>
      <c r="H34" s="435">
        <v>4197</v>
      </c>
      <c r="I34" s="435">
        <v>4210</v>
      </c>
      <c r="J34" s="435">
        <v>4242</v>
      </c>
      <c r="K34" s="435">
        <v>4265</v>
      </c>
      <c r="L34" s="435">
        <v>4312</v>
      </c>
      <c r="M34" s="435">
        <v>4329</v>
      </c>
      <c r="N34" s="415"/>
      <c r="O34" s="436" t="str">
        <f t="shared" si="1"/>
        <v>200501</v>
      </c>
      <c r="P34" s="436" t="str">
        <f t="shared" si="0"/>
        <v>200502</v>
      </c>
      <c r="Q34" s="436" t="str">
        <f t="shared" si="0"/>
        <v>200503</v>
      </c>
      <c r="R34" s="436" t="str">
        <f t="shared" si="0"/>
        <v>200504</v>
      </c>
      <c r="S34" s="436" t="str">
        <f t="shared" si="0"/>
        <v>200505</v>
      </c>
      <c r="T34" s="436" t="str">
        <f t="shared" si="0"/>
        <v>200506</v>
      </c>
      <c r="U34" s="436" t="str">
        <f t="shared" si="0"/>
        <v>200507</v>
      </c>
      <c r="V34" s="436" t="str">
        <f t="shared" si="0"/>
        <v>200508</v>
      </c>
      <c r="W34" s="436" t="str">
        <f t="shared" si="0"/>
        <v>200509</v>
      </c>
      <c r="X34" s="436" t="str">
        <f t="shared" si="0"/>
        <v>200510</v>
      </c>
      <c r="Y34" s="436" t="str">
        <f t="shared" si="0"/>
        <v>200511</v>
      </c>
      <c r="Z34" s="436" t="str">
        <f t="shared" si="0"/>
        <v>200512</v>
      </c>
    </row>
    <row r="35" spans="1:26">
      <c r="A35" s="434">
        <v>2006</v>
      </c>
      <c r="B35" s="435">
        <v>4335</v>
      </c>
      <c r="C35" s="435">
        <v>4337</v>
      </c>
      <c r="D35" s="435">
        <v>4330</v>
      </c>
      <c r="E35" s="435">
        <v>4335</v>
      </c>
      <c r="F35" s="435">
        <v>4331</v>
      </c>
      <c r="G35" s="435">
        <v>4340</v>
      </c>
      <c r="H35" s="435">
        <v>4356</v>
      </c>
      <c r="I35" s="435">
        <v>4359</v>
      </c>
      <c r="J35" s="435">
        <v>4375</v>
      </c>
      <c r="K35" s="435">
        <v>4431</v>
      </c>
      <c r="L35" s="435">
        <v>4462</v>
      </c>
      <c r="M35" s="435">
        <v>4441</v>
      </c>
      <c r="N35" s="415"/>
      <c r="O35" s="436" t="str">
        <f t="shared" si="1"/>
        <v>200601</v>
      </c>
      <c r="P35" s="436" t="str">
        <f t="shared" si="1"/>
        <v>200602</v>
      </c>
      <c r="Q35" s="436" t="str">
        <f t="shared" si="1"/>
        <v>200603</v>
      </c>
      <c r="R35" s="436" t="str">
        <f t="shared" si="1"/>
        <v>200604</v>
      </c>
      <c r="S35" s="436" t="str">
        <f t="shared" si="1"/>
        <v>200605</v>
      </c>
      <c r="T35" s="436" t="str">
        <f t="shared" si="1"/>
        <v>200606</v>
      </c>
      <c r="U35" s="436" t="str">
        <f t="shared" si="1"/>
        <v>200607</v>
      </c>
      <c r="V35" s="436" t="str">
        <f t="shared" si="1"/>
        <v>200608</v>
      </c>
      <c r="W35" s="436" t="str">
        <f t="shared" si="1"/>
        <v>200609</v>
      </c>
      <c r="X35" s="436" t="str">
        <f t="shared" si="1"/>
        <v>200610</v>
      </c>
      <c r="Y35" s="436" t="str">
        <f t="shared" si="1"/>
        <v>200611</v>
      </c>
      <c r="Z35" s="436" t="str">
        <f t="shared" si="1"/>
        <v>200612</v>
      </c>
    </row>
    <row r="36" spans="1:26">
      <c r="A36" s="434">
        <v>2007</v>
      </c>
      <c r="B36" s="435">
        <v>4432</v>
      </c>
      <c r="C36" s="435">
        <v>4432</v>
      </c>
      <c r="D36" s="435">
        <v>4411</v>
      </c>
      <c r="E36" s="435">
        <v>4416</v>
      </c>
      <c r="F36" s="435">
        <v>4475</v>
      </c>
      <c r="G36" s="435">
        <v>4471</v>
      </c>
      <c r="H36" s="435">
        <v>4493</v>
      </c>
      <c r="I36" s="435">
        <v>4512</v>
      </c>
      <c r="J36" s="435">
        <v>4533</v>
      </c>
      <c r="K36" s="435">
        <v>4535</v>
      </c>
      <c r="L36" s="435">
        <v>4558</v>
      </c>
      <c r="M36" s="435">
        <v>4556</v>
      </c>
      <c r="N36" s="415"/>
      <c r="O36" s="436" t="str">
        <f t="shared" si="1"/>
        <v>200701</v>
      </c>
      <c r="P36" s="436" t="str">
        <f t="shared" si="1"/>
        <v>200702</v>
      </c>
      <c r="Q36" s="436" t="str">
        <f t="shared" si="1"/>
        <v>200703</v>
      </c>
      <c r="R36" s="436" t="str">
        <f t="shared" si="1"/>
        <v>200704</v>
      </c>
      <c r="S36" s="436" t="str">
        <f t="shared" si="1"/>
        <v>200705</v>
      </c>
      <c r="T36" s="436" t="str">
        <f t="shared" si="1"/>
        <v>200706</v>
      </c>
      <c r="U36" s="436" t="str">
        <f t="shared" si="1"/>
        <v>200707</v>
      </c>
      <c r="V36" s="436" t="str">
        <f t="shared" si="1"/>
        <v>200708</v>
      </c>
      <c r="W36" s="436" t="str">
        <f t="shared" si="1"/>
        <v>200709</v>
      </c>
      <c r="X36" s="436" t="str">
        <f t="shared" si="1"/>
        <v>200710</v>
      </c>
      <c r="Y36" s="436" t="str">
        <f t="shared" si="1"/>
        <v>200711</v>
      </c>
      <c r="Z36" s="436" t="str">
        <f t="shared" si="1"/>
        <v>200712</v>
      </c>
    </row>
    <row r="37" spans="1:26">
      <c r="A37" s="434">
        <v>2008</v>
      </c>
      <c r="B37" s="435">
        <v>4557</v>
      </c>
      <c r="C37" s="435">
        <v>4556</v>
      </c>
      <c r="D37" s="435">
        <v>4571</v>
      </c>
      <c r="E37" s="435">
        <v>4574</v>
      </c>
      <c r="F37" s="435">
        <v>4599</v>
      </c>
      <c r="G37" s="435">
        <v>4640</v>
      </c>
      <c r="H37" s="435">
        <v>4723</v>
      </c>
      <c r="I37" s="435">
        <v>4733</v>
      </c>
      <c r="J37" s="435">
        <v>4827</v>
      </c>
      <c r="K37" s="435">
        <v>4867</v>
      </c>
      <c r="L37" s="435">
        <v>4847</v>
      </c>
      <c r="M37" s="435">
        <v>4797</v>
      </c>
      <c r="N37" s="415"/>
      <c r="O37" s="436" t="str">
        <f t="shared" si="1"/>
        <v>200801</v>
      </c>
      <c r="P37" s="436" t="str">
        <f t="shared" si="1"/>
        <v>200802</v>
      </c>
      <c r="Q37" s="436" t="str">
        <f t="shared" si="1"/>
        <v>200803</v>
      </c>
      <c r="R37" s="436" t="str">
        <f t="shared" si="1"/>
        <v>200804</v>
      </c>
      <c r="S37" s="436" t="str">
        <f t="shared" si="1"/>
        <v>200805</v>
      </c>
      <c r="T37" s="436" t="str">
        <f t="shared" si="1"/>
        <v>200806</v>
      </c>
      <c r="U37" s="436" t="str">
        <f t="shared" si="1"/>
        <v>200807</v>
      </c>
      <c r="V37" s="436" t="str">
        <f t="shared" si="1"/>
        <v>200808</v>
      </c>
      <c r="W37" s="436" t="str">
        <f t="shared" si="1"/>
        <v>200809</v>
      </c>
      <c r="X37" s="436" t="str">
        <f t="shared" si="1"/>
        <v>200810</v>
      </c>
      <c r="Y37" s="436" t="str">
        <f t="shared" si="1"/>
        <v>200811</v>
      </c>
      <c r="Z37" s="436" t="str">
        <f t="shared" si="1"/>
        <v>200812</v>
      </c>
    </row>
    <row r="38" spans="1:26">
      <c r="A38" s="434">
        <v>2009</v>
      </c>
      <c r="B38" s="435">
        <v>4782</v>
      </c>
      <c r="C38" s="435">
        <v>4765</v>
      </c>
      <c r="D38" s="435">
        <v>4767</v>
      </c>
      <c r="E38" s="435">
        <v>4761</v>
      </c>
      <c r="F38" s="435">
        <v>4773</v>
      </c>
      <c r="G38" s="435">
        <v>4771</v>
      </c>
      <c r="H38" s="435">
        <v>4762</v>
      </c>
      <c r="I38" s="435">
        <v>4768</v>
      </c>
      <c r="J38" s="435">
        <v>4764</v>
      </c>
      <c r="K38" s="435">
        <v>4762</v>
      </c>
      <c r="L38" s="435">
        <v>4757</v>
      </c>
      <c r="M38" s="435">
        <v>4795</v>
      </c>
      <c r="N38" s="415"/>
      <c r="O38" s="436" t="str">
        <f t="shared" si="1"/>
        <v>200901</v>
      </c>
      <c r="P38" s="436" t="str">
        <f t="shared" si="1"/>
        <v>200902</v>
      </c>
      <c r="Q38" s="436" t="str">
        <f t="shared" si="1"/>
        <v>200903</v>
      </c>
      <c r="R38" s="436" t="str">
        <f t="shared" si="1"/>
        <v>200904</v>
      </c>
      <c r="S38" s="436" t="str">
        <f t="shared" si="1"/>
        <v>200905</v>
      </c>
      <c r="T38" s="436" t="str">
        <f t="shared" si="1"/>
        <v>200906</v>
      </c>
      <c r="U38" s="436" t="str">
        <f t="shared" si="1"/>
        <v>200907</v>
      </c>
      <c r="V38" s="436" t="str">
        <f t="shared" si="1"/>
        <v>200908</v>
      </c>
      <c r="W38" s="436" t="str">
        <f t="shared" si="1"/>
        <v>200909</v>
      </c>
      <c r="X38" s="436" t="str">
        <f t="shared" si="1"/>
        <v>200910</v>
      </c>
      <c r="Y38" s="436" t="str">
        <f t="shared" si="1"/>
        <v>200911</v>
      </c>
      <c r="Z38" s="436" t="str">
        <f t="shared" si="1"/>
        <v>200912</v>
      </c>
    </row>
    <row r="39" spans="1:26">
      <c r="A39" s="434">
        <v>2010</v>
      </c>
      <c r="B39" s="435">
        <v>4800</v>
      </c>
      <c r="C39" s="435">
        <v>4812</v>
      </c>
      <c r="D39" s="435">
        <v>4811</v>
      </c>
      <c r="E39" s="435">
        <v>4817</v>
      </c>
      <c r="F39" s="435">
        <v>4858</v>
      </c>
      <c r="G39" s="435">
        <v>4888</v>
      </c>
      <c r="H39" s="435">
        <v>4910</v>
      </c>
      <c r="I39" s="435">
        <v>4905</v>
      </c>
      <c r="J39" s="435">
        <v>4910</v>
      </c>
      <c r="K39" s="435">
        <v>4947</v>
      </c>
      <c r="L39" s="435">
        <v>4968</v>
      </c>
      <c r="M39" s="435">
        <v>4970</v>
      </c>
      <c r="N39" s="415"/>
      <c r="O39" s="436" t="str">
        <f t="shared" si="1"/>
        <v>201001</v>
      </c>
      <c r="P39" s="436" t="str">
        <f t="shared" si="1"/>
        <v>201002</v>
      </c>
      <c r="Q39" s="436" t="str">
        <f t="shared" si="1"/>
        <v>201003</v>
      </c>
      <c r="R39" s="436" t="str">
        <f t="shared" si="1"/>
        <v>201004</v>
      </c>
      <c r="S39" s="436" t="str">
        <f t="shared" si="1"/>
        <v>201005</v>
      </c>
      <c r="T39" s="436" t="str">
        <f t="shared" si="1"/>
        <v>201006</v>
      </c>
      <c r="U39" s="436" t="str">
        <f t="shared" si="1"/>
        <v>201007</v>
      </c>
      <c r="V39" s="436" t="str">
        <f t="shared" si="1"/>
        <v>201008</v>
      </c>
      <c r="W39" s="436" t="str">
        <f t="shared" si="1"/>
        <v>201009</v>
      </c>
      <c r="X39" s="436" t="str">
        <f t="shared" si="1"/>
        <v>201010</v>
      </c>
      <c r="Y39" s="436" t="str">
        <f t="shared" si="1"/>
        <v>201011</v>
      </c>
      <c r="Z39" s="436" t="str">
        <f t="shared" si="1"/>
        <v>201012</v>
      </c>
    </row>
    <row r="40" spans="1:26">
      <c r="A40" s="434">
        <v>2011</v>
      </c>
      <c r="B40" s="435">
        <v>4969</v>
      </c>
      <c r="C40" s="435">
        <v>5007</v>
      </c>
      <c r="D40" s="435">
        <v>5010</v>
      </c>
      <c r="E40" s="435">
        <v>5028</v>
      </c>
      <c r="F40" s="435">
        <v>5035</v>
      </c>
      <c r="G40" s="435">
        <v>5059</v>
      </c>
      <c r="H40" s="435">
        <v>5074</v>
      </c>
      <c r="I40" s="435">
        <v>5091</v>
      </c>
      <c r="J40" s="435">
        <v>5098</v>
      </c>
      <c r="K40" s="435">
        <v>5104</v>
      </c>
      <c r="L40" s="435">
        <v>5113</v>
      </c>
      <c r="M40" s="435">
        <v>5115</v>
      </c>
      <c r="N40" s="415"/>
      <c r="O40" s="436" t="str">
        <f t="shared" si="1"/>
        <v>201101</v>
      </c>
      <c r="P40" s="436" t="str">
        <f t="shared" si="1"/>
        <v>201102</v>
      </c>
      <c r="Q40" s="436" t="str">
        <f t="shared" si="1"/>
        <v>201103</v>
      </c>
      <c r="R40" s="436" t="str">
        <f t="shared" si="1"/>
        <v>201104</v>
      </c>
      <c r="S40" s="436" t="str">
        <f t="shared" si="1"/>
        <v>201105</v>
      </c>
      <c r="T40" s="436" t="str">
        <f t="shared" si="1"/>
        <v>201106</v>
      </c>
      <c r="U40" s="436" t="str">
        <f t="shared" si="1"/>
        <v>201107</v>
      </c>
      <c r="V40" s="436" t="str">
        <f t="shared" si="1"/>
        <v>201108</v>
      </c>
      <c r="W40" s="436" t="str">
        <f t="shared" si="1"/>
        <v>201109</v>
      </c>
      <c r="X40" s="436" t="str">
        <f t="shared" si="1"/>
        <v>201110</v>
      </c>
      <c r="Y40" s="436" t="str">
        <f t="shared" si="1"/>
        <v>201111</v>
      </c>
      <c r="Z40" s="436" t="str">
        <f t="shared" si="1"/>
        <v>201112</v>
      </c>
    </row>
    <row r="41" spans="1:26">
      <c r="A41" s="434">
        <v>2012</v>
      </c>
      <c r="B41" s="435">
        <v>5120</v>
      </c>
      <c r="C41" s="435">
        <v>5122</v>
      </c>
      <c r="D41" s="435">
        <v>5144</v>
      </c>
      <c r="E41" s="435">
        <v>5150</v>
      </c>
      <c r="F41" s="435">
        <v>5167</v>
      </c>
      <c r="G41" s="435">
        <v>5170</v>
      </c>
      <c r="H41" s="435">
        <v>5184</v>
      </c>
      <c r="I41" s="435">
        <v>5204</v>
      </c>
      <c r="J41" s="435">
        <v>5195</v>
      </c>
      <c r="K41" s="435">
        <v>5204</v>
      </c>
      <c r="L41" s="435">
        <v>5213</v>
      </c>
      <c r="M41" s="435">
        <v>5210</v>
      </c>
      <c r="N41" s="415"/>
      <c r="O41" s="436" t="str">
        <f t="shared" si="1"/>
        <v>201201</v>
      </c>
      <c r="P41" s="436" t="str">
        <f t="shared" si="1"/>
        <v>201202</v>
      </c>
      <c r="Q41" s="436" t="str">
        <f t="shared" si="1"/>
        <v>201203</v>
      </c>
      <c r="R41" s="436" t="str">
        <f t="shared" si="1"/>
        <v>201204</v>
      </c>
      <c r="S41" s="436" t="str">
        <f t="shared" si="1"/>
        <v>201205</v>
      </c>
      <c r="T41" s="436" t="str">
        <f t="shared" si="1"/>
        <v>201206</v>
      </c>
      <c r="U41" s="436" t="str">
        <f t="shared" si="1"/>
        <v>201207</v>
      </c>
      <c r="V41" s="436" t="str">
        <f t="shared" si="1"/>
        <v>201208</v>
      </c>
      <c r="W41" s="436" t="str">
        <f t="shared" si="1"/>
        <v>201209</v>
      </c>
      <c r="X41" s="436" t="str">
        <f t="shared" si="1"/>
        <v>201210</v>
      </c>
      <c r="Y41" s="436" t="str">
        <f t="shared" si="1"/>
        <v>201211</v>
      </c>
      <c r="Z41" s="436" t="str">
        <f t="shared" si="1"/>
        <v>201212</v>
      </c>
    </row>
    <row r="42" spans="1:26">
      <c r="A42" s="434">
        <v>2013</v>
      </c>
      <c r="B42" s="435">
        <v>5226</v>
      </c>
      <c r="C42" s="435">
        <v>5246</v>
      </c>
      <c r="D42" s="435">
        <v>5249</v>
      </c>
      <c r="E42" s="435">
        <v>5257</v>
      </c>
      <c r="F42" s="435">
        <v>5272</v>
      </c>
      <c r="G42" s="435">
        <v>5286</v>
      </c>
      <c r="H42" s="435">
        <v>5281</v>
      </c>
      <c r="I42" s="435">
        <v>5277</v>
      </c>
      <c r="J42" s="435">
        <v>5285</v>
      </c>
      <c r="K42" s="435">
        <v>5308</v>
      </c>
      <c r="L42" s="435">
        <v>5317</v>
      </c>
      <c r="M42" s="435">
        <v>5326</v>
      </c>
      <c r="N42" s="415"/>
      <c r="O42" s="436" t="str">
        <f t="shared" si="1"/>
        <v>201301</v>
      </c>
      <c r="P42" s="436" t="str">
        <f t="shared" si="1"/>
        <v>201302</v>
      </c>
      <c r="Q42" s="436" t="str">
        <f t="shared" si="1"/>
        <v>201303</v>
      </c>
      <c r="R42" s="436" t="str">
        <f t="shared" si="1"/>
        <v>201304</v>
      </c>
      <c r="S42" s="436" t="str">
        <f t="shared" si="1"/>
        <v>201305</v>
      </c>
      <c r="T42" s="436" t="str">
        <f t="shared" si="1"/>
        <v>201306</v>
      </c>
      <c r="U42" s="436" t="str">
        <f t="shared" si="1"/>
        <v>201307</v>
      </c>
      <c r="V42" s="436" t="str">
        <f t="shared" si="1"/>
        <v>201308</v>
      </c>
      <c r="W42" s="436" t="str">
        <f t="shared" si="1"/>
        <v>201309</v>
      </c>
      <c r="X42" s="436" t="str">
        <f t="shared" si="1"/>
        <v>201310</v>
      </c>
      <c r="Y42" s="436" t="str">
        <f t="shared" si="1"/>
        <v>201311</v>
      </c>
      <c r="Z42" s="436" t="str">
        <f t="shared" si="1"/>
        <v>201312</v>
      </c>
    </row>
    <row r="43" spans="1:26">
      <c r="A43" s="434">
        <v>2014</v>
      </c>
      <c r="B43" s="435">
        <v>5324</v>
      </c>
      <c r="C43" s="435">
        <v>5321</v>
      </c>
      <c r="D43" s="435">
        <v>5336</v>
      </c>
      <c r="E43" s="435">
        <v>5357</v>
      </c>
      <c r="F43" s="435">
        <v>5370</v>
      </c>
      <c r="G43" s="435">
        <v>5375</v>
      </c>
      <c r="H43" s="435">
        <v>5383</v>
      </c>
      <c r="I43" s="435">
        <v>5390</v>
      </c>
      <c r="J43" s="435">
        <v>5409</v>
      </c>
      <c r="K43" s="435">
        <v>5442</v>
      </c>
      <c r="L43" s="435">
        <v>5468</v>
      </c>
      <c r="M43" s="435">
        <v>5480</v>
      </c>
      <c r="N43" s="415"/>
      <c r="O43" s="436" t="str">
        <f t="shared" si="1"/>
        <v>201401</v>
      </c>
      <c r="P43" s="436" t="str">
        <f t="shared" si="1"/>
        <v>201402</v>
      </c>
      <c r="Q43" s="436" t="str">
        <f t="shared" si="1"/>
        <v>201403</v>
      </c>
      <c r="R43" s="436" t="str">
        <f t="shared" si="1"/>
        <v>201404</v>
      </c>
      <c r="S43" s="436" t="str">
        <f t="shared" si="1"/>
        <v>201405</v>
      </c>
      <c r="T43" s="436" t="str">
        <f t="shared" si="1"/>
        <v>201406</v>
      </c>
      <c r="U43" s="436" t="str">
        <f t="shared" si="1"/>
        <v>201407</v>
      </c>
      <c r="V43" s="436" t="str">
        <f t="shared" si="1"/>
        <v>201408</v>
      </c>
      <c r="W43" s="436" t="str">
        <f t="shared" si="1"/>
        <v>201409</v>
      </c>
      <c r="X43" s="436" t="str">
        <f t="shared" si="1"/>
        <v>201410</v>
      </c>
      <c r="Y43" s="436" t="str">
        <f t="shared" si="1"/>
        <v>201411</v>
      </c>
      <c r="Z43" s="436" t="str">
        <f t="shared" si="1"/>
        <v>201412</v>
      </c>
    </row>
    <row r="44" spans="1:26">
      <c r="A44" s="434">
        <v>2015</v>
      </c>
      <c r="B44" s="435">
        <v>5497</v>
      </c>
      <c r="C44" s="435">
        <v>5488.1</v>
      </c>
      <c r="D44" s="435">
        <v>5487.34</v>
      </c>
      <c r="E44" s="435">
        <v>5500.82</v>
      </c>
      <c r="F44" s="435">
        <v>5490.44</v>
      </c>
      <c r="G44" s="435">
        <v>5507.38</v>
      </c>
      <c r="H44" s="435">
        <v>5510.47</v>
      </c>
      <c r="I44" s="435">
        <v>5514.7</v>
      </c>
      <c r="J44" s="435">
        <v>5541.1</v>
      </c>
      <c r="K44" s="435">
        <v>5543.93</v>
      </c>
      <c r="L44" s="435">
        <v>5563.51</v>
      </c>
      <c r="M44" s="435">
        <v>5560.64</v>
      </c>
      <c r="N44" s="415"/>
      <c r="O44" s="436" t="str">
        <f t="shared" si="1"/>
        <v>201501</v>
      </c>
      <c r="P44" s="436" t="str">
        <f t="shared" si="1"/>
        <v>201502</v>
      </c>
      <c r="Q44" s="436" t="str">
        <f t="shared" si="1"/>
        <v>201503</v>
      </c>
      <c r="R44" s="436" t="str">
        <f t="shared" si="1"/>
        <v>201504</v>
      </c>
      <c r="S44" s="436" t="str">
        <f t="shared" si="1"/>
        <v>201505</v>
      </c>
      <c r="T44" s="436" t="str">
        <f t="shared" si="1"/>
        <v>201506</v>
      </c>
      <c r="U44" s="436" t="str">
        <f t="shared" si="1"/>
        <v>201507</v>
      </c>
      <c r="V44" s="436" t="str">
        <f t="shared" si="1"/>
        <v>201508</v>
      </c>
      <c r="W44" s="436" t="str">
        <f t="shared" si="1"/>
        <v>201509</v>
      </c>
      <c r="X44" s="436" t="str">
        <f t="shared" si="1"/>
        <v>201510</v>
      </c>
      <c r="Y44" s="436" t="str">
        <f t="shared" si="1"/>
        <v>201511</v>
      </c>
      <c r="Z44" s="436" t="str">
        <f t="shared" si="1"/>
        <v>201512</v>
      </c>
    </row>
    <row r="45" spans="1:26">
      <c r="A45" s="434">
        <v>2016</v>
      </c>
      <c r="B45" s="435">
        <v>5561.76</v>
      </c>
      <c r="C45" s="435">
        <v>5588.02</v>
      </c>
      <c r="D45" s="435">
        <v>5605.55</v>
      </c>
      <c r="E45" s="435">
        <v>5632.95</v>
      </c>
      <c r="F45" s="435">
        <v>5637.09</v>
      </c>
      <c r="G45" s="435">
        <v>5636.49</v>
      </c>
      <c r="H45" s="435">
        <v>5659.51</v>
      </c>
      <c r="I45" s="435">
        <v>5669.5</v>
      </c>
      <c r="J45" s="435">
        <v>5657.28</v>
      </c>
      <c r="K45" s="435">
        <v>5681.63</v>
      </c>
      <c r="L45" s="435">
        <v>5690.35</v>
      </c>
      <c r="M45" s="435">
        <v>5722.81</v>
      </c>
      <c r="N45" s="415"/>
      <c r="O45" s="436" t="str">
        <f t="shared" si="1"/>
        <v>201601</v>
      </c>
      <c r="P45" s="436" t="str">
        <f t="shared" si="1"/>
        <v>201602</v>
      </c>
      <c r="Q45" s="436" t="str">
        <f t="shared" si="1"/>
        <v>201603</v>
      </c>
      <c r="R45" s="436" t="str">
        <f t="shared" si="1"/>
        <v>201604</v>
      </c>
      <c r="S45" s="436" t="str">
        <f t="shared" si="1"/>
        <v>201605</v>
      </c>
      <c r="T45" s="436" t="str">
        <f t="shared" si="1"/>
        <v>201606</v>
      </c>
      <c r="U45" s="436" t="str">
        <f t="shared" si="1"/>
        <v>201607</v>
      </c>
      <c r="V45" s="436" t="str">
        <f t="shared" si="1"/>
        <v>201608</v>
      </c>
      <c r="W45" s="436" t="str">
        <f t="shared" si="1"/>
        <v>201609</v>
      </c>
      <c r="X45" s="436" t="str">
        <f t="shared" si="1"/>
        <v>201610</v>
      </c>
      <c r="Y45" s="436" t="str">
        <f t="shared" si="1"/>
        <v>201611</v>
      </c>
      <c r="Z45" s="436" t="str">
        <f t="shared" si="1"/>
        <v>201612</v>
      </c>
    </row>
    <row r="46" spans="1:26">
      <c r="A46" s="434">
        <v>2017</v>
      </c>
      <c r="B46" s="435">
        <v>5733.88</v>
      </c>
      <c r="C46" s="435">
        <v>5742.06</v>
      </c>
      <c r="D46" s="435">
        <v>5789.41</v>
      </c>
      <c r="E46" s="435">
        <v>5801.76</v>
      </c>
      <c r="F46" s="435">
        <v>5815.76</v>
      </c>
      <c r="G46" s="435">
        <v>5826.4</v>
      </c>
      <c r="H46" s="435">
        <v>5844.3</v>
      </c>
      <c r="I46" s="435">
        <v>5862.24</v>
      </c>
      <c r="J46" s="435">
        <v>5872.8</v>
      </c>
      <c r="K46" s="435">
        <v>5866.92</v>
      </c>
      <c r="L46" s="435">
        <v>5901.86</v>
      </c>
      <c r="M46" s="435">
        <v>5913.81</v>
      </c>
      <c r="N46" s="415"/>
      <c r="O46" s="436" t="str">
        <f t="shared" si="1"/>
        <v>201701</v>
      </c>
      <c r="P46" s="436" t="str">
        <f t="shared" si="1"/>
        <v>201702</v>
      </c>
      <c r="Q46" s="436" t="str">
        <f t="shared" si="1"/>
        <v>201703</v>
      </c>
      <c r="R46" s="436" t="str">
        <f t="shared" si="1"/>
        <v>201704</v>
      </c>
      <c r="S46" s="436" t="str">
        <f t="shared" si="1"/>
        <v>201705</v>
      </c>
      <c r="T46" s="436" t="str">
        <f t="shared" si="1"/>
        <v>201706</v>
      </c>
      <c r="U46" s="436" t="str">
        <f t="shared" si="1"/>
        <v>201707</v>
      </c>
      <c r="V46" s="436" t="str">
        <f t="shared" si="1"/>
        <v>201708</v>
      </c>
      <c r="W46" s="436" t="str">
        <f t="shared" si="1"/>
        <v>201709</v>
      </c>
      <c r="X46" s="436" t="str">
        <f t="shared" si="1"/>
        <v>201710</v>
      </c>
      <c r="Y46" s="436" t="str">
        <f t="shared" si="1"/>
        <v>201711</v>
      </c>
      <c r="Z46" s="436" t="str">
        <f t="shared" si="1"/>
        <v>201712</v>
      </c>
    </row>
    <row r="47" spans="1:26">
      <c r="A47" s="434">
        <v>2018</v>
      </c>
      <c r="B47" s="435">
        <v>5921.32</v>
      </c>
      <c r="C47" s="435">
        <v>5932.09</v>
      </c>
      <c r="D47" s="435">
        <v>5942.13</v>
      </c>
      <c r="E47" s="435">
        <v>5954.16</v>
      </c>
      <c r="F47" s="435">
        <v>5995.06</v>
      </c>
      <c r="G47" s="435">
        <v>6004.8</v>
      </c>
      <c r="H47" s="435">
        <v>6042.91</v>
      </c>
      <c r="I47" s="435">
        <v>6060.07</v>
      </c>
      <c r="J47" s="435">
        <v>6081.34</v>
      </c>
      <c r="K47" s="435">
        <v>6092.62</v>
      </c>
      <c r="L47" s="435">
        <v>6093.13</v>
      </c>
      <c r="M47" s="435">
        <v>6105.29</v>
      </c>
      <c r="N47" s="415"/>
      <c r="O47" s="436" t="str">
        <f t="shared" si="1"/>
        <v>201801</v>
      </c>
      <c r="P47" s="436" t="str">
        <f t="shared" si="1"/>
        <v>201802</v>
      </c>
      <c r="Q47" s="436" t="str">
        <f t="shared" si="1"/>
        <v>201803</v>
      </c>
      <c r="R47" s="436" t="str">
        <f t="shared" si="1"/>
        <v>201804</v>
      </c>
      <c r="S47" s="436" t="str">
        <f t="shared" si="1"/>
        <v>201805</v>
      </c>
      <c r="T47" s="436" t="str">
        <f t="shared" si="1"/>
        <v>201806</v>
      </c>
      <c r="U47" s="436" t="str">
        <f t="shared" si="1"/>
        <v>201807</v>
      </c>
      <c r="V47" s="436" t="str">
        <f t="shared" si="1"/>
        <v>201808</v>
      </c>
      <c r="W47" s="436" t="str">
        <f t="shared" si="1"/>
        <v>201809</v>
      </c>
      <c r="X47" s="436" t="str">
        <f t="shared" si="1"/>
        <v>201810</v>
      </c>
      <c r="Y47" s="436" t="str">
        <f t="shared" si="1"/>
        <v>201811</v>
      </c>
      <c r="Z47" s="436" t="str">
        <f t="shared" si="1"/>
        <v>201812</v>
      </c>
    </row>
    <row r="48" spans="1:26">
      <c r="A48" s="434">
        <v>2019</v>
      </c>
      <c r="B48" s="435">
        <v>6107.7</v>
      </c>
      <c r="C48" s="435">
        <v>6108.09</v>
      </c>
      <c r="D48" s="435">
        <v>6109.67</v>
      </c>
      <c r="E48" s="435">
        <v>6109.83</v>
      </c>
      <c r="F48" s="435">
        <v>6111.77</v>
      </c>
      <c r="G48" s="435">
        <v>6118.34</v>
      </c>
      <c r="H48" s="435">
        <v>6131.42</v>
      </c>
      <c r="I48" s="435">
        <v>6146.81</v>
      </c>
      <c r="J48" s="435">
        <v>6146.98</v>
      </c>
      <c r="K48" s="435">
        <v>6168.75</v>
      </c>
      <c r="L48" s="435">
        <v>6179.22</v>
      </c>
      <c r="M48" s="435">
        <v>6199.11</v>
      </c>
      <c r="N48" s="415"/>
      <c r="O48" s="436" t="str">
        <f t="shared" si="1"/>
        <v>201901</v>
      </c>
      <c r="P48" s="436" t="str">
        <f t="shared" si="1"/>
        <v>201902</v>
      </c>
      <c r="Q48" s="436" t="str">
        <f t="shared" si="1"/>
        <v>201903</v>
      </c>
      <c r="R48" s="436" t="str">
        <f t="shared" si="1"/>
        <v>201904</v>
      </c>
      <c r="S48" s="436" t="str">
        <f t="shared" si="1"/>
        <v>201905</v>
      </c>
      <c r="T48" s="436" t="str">
        <f t="shared" si="1"/>
        <v>201906</v>
      </c>
      <c r="U48" s="436" t="str">
        <f t="shared" si="1"/>
        <v>201907</v>
      </c>
      <c r="V48" s="436" t="str">
        <f t="shared" si="1"/>
        <v>201908</v>
      </c>
      <c r="W48" s="436" t="str">
        <f t="shared" si="1"/>
        <v>201909</v>
      </c>
      <c r="X48" s="436" t="str">
        <f t="shared" si="1"/>
        <v>201910</v>
      </c>
      <c r="Y48" s="436" t="str">
        <f t="shared" si="1"/>
        <v>201911</v>
      </c>
      <c r="Z48" s="436" t="str">
        <f t="shared" si="1"/>
        <v>201912</v>
      </c>
    </row>
    <row r="49" spans="1:26">
      <c r="A49" s="434">
        <v>2020</v>
      </c>
      <c r="B49" s="435">
        <v>6213.68</v>
      </c>
      <c r="C49" s="435">
        <v>6217.29</v>
      </c>
      <c r="D49" s="435">
        <v>6218.26</v>
      </c>
      <c r="E49" s="435">
        <v>6233.93</v>
      </c>
      <c r="F49" s="435">
        <v>6239.42</v>
      </c>
      <c r="G49" s="435">
        <v>6246.69</v>
      </c>
      <c r="H49" s="435">
        <v>6258.19</v>
      </c>
      <c r="I49" s="435">
        <v>6267.65</v>
      </c>
      <c r="J49" s="435">
        <v>6300.3</v>
      </c>
      <c r="K49" s="435">
        <v>6343.55</v>
      </c>
      <c r="L49" s="435">
        <v>6391.74</v>
      </c>
      <c r="M49" s="435">
        <v>6445.14</v>
      </c>
      <c r="N49" s="415"/>
      <c r="O49" s="436" t="str">
        <f t="shared" si="1"/>
        <v>202001</v>
      </c>
      <c r="P49" s="436" t="str">
        <f t="shared" si="1"/>
        <v>202002</v>
      </c>
      <c r="Q49" s="436" t="str">
        <f t="shared" si="1"/>
        <v>202003</v>
      </c>
      <c r="R49" s="436" t="str">
        <f t="shared" si="1"/>
        <v>202004</v>
      </c>
      <c r="S49" s="436" t="str">
        <f t="shared" si="1"/>
        <v>202005</v>
      </c>
      <c r="T49" s="436" t="str">
        <f t="shared" si="1"/>
        <v>202006</v>
      </c>
      <c r="U49" s="436" t="str">
        <f t="shared" si="1"/>
        <v>202007</v>
      </c>
      <c r="V49" s="436" t="str">
        <f t="shared" si="1"/>
        <v>202008</v>
      </c>
      <c r="W49" s="436" t="str">
        <f t="shared" si="1"/>
        <v>202009</v>
      </c>
      <c r="X49" s="436" t="str">
        <f t="shared" si="1"/>
        <v>202010</v>
      </c>
      <c r="Y49" s="436" t="str">
        <f t="shared" si="1"/>
        <v>202011</v>
      </c>
      <c r="Z49" s="436" t="str">
        <f t="shared" si="1"/>
        <v>202012</v>
      </c>
    </row>
    <row r="50" spans="1:26">
      <c r="A50" s="434">
        <v>2021</v>
      </c>
      <c r="B50" s="435">
        <v>6459.83</v>
      </c>
      <c r="C50" s="435">
        <v>6493.19</v>
      </c>
      <c r="D50" s="435">
        <v>6545.22</v>
      </c>
      <c r="E50" s="435">
        <v>6612.5</v>
      </c>
      <c r="F50" s="435">
        <v>6754.51</v>
      </c>
      <c r="G50" s="435">
        <v>6876.96</v>
      </c>
      <c r="H50" s="435">
        <v>7006.95</v>
      </c>
      <c r="I50" s="435">
        <v>7201.88</v>
      </c>
      <c r="J50" s="435">
        <v>7214.29</v>
      </c>
      <c r="K50" s="435">
        <v>7244.9</v>
      </c>
      <c r="L50" s="435">
        <v>7255.67</v>
      </c>
      <c r="M50" s="435">
        <v>7289.5</v>
      </c>
      <c r="N50" s="415"/>
      <c r="O50" s="436" t="str">
        <f t="shared" si="1"/>
        <v>202101</v>
      </c>
      <c r="P50" s="436" t="str">
        <f t="shared" si="1"/>
        <v>202102</v>
      </c>
      <c r="Q50" s="436" t="str">
        <f t="shared" si="1"/>
        <v>202103</v>
      </c>
      <c r="R50" s="436" t="str">
        <f t="shared" si="1"/>
        <v>202104</v>
      </c>
      <c r="S50" s="436" t="str">
        <f t="shared" si="1"/>
        <v>202105</v>
      </c>
      <c r="T50" s="436" t="str">
        <f t="shared" si="1"/>
        <v>202106</v>
      </c>
      <c r="U50" s="436" t="str">
        <f t="shared" si="1"/>
        <v>202107</v>
      </c>
      <c r="V50" s="436" t="str">
        <f t="shared" si="1"/>
        <v>202108</v>
      </c>
      <c r="W50" s="436" t="str">
        <f t="shared" si="1"/>
        <v>202109</v>
      </c>
      <c r="X50" s="436" t="str">
        <f t="shared" si="1"/>
        <v>202110</v>
      </c>
      <c r="Y50" s="436" t="str">
        <f t="shared" si="1"/>
        <v>202111</v>
      </c>
      <c r="Z50" s="436" t="str">
        <f t="shared" si="1"/>
        <v>202112</v>
      </c>
    </row>
    <row r="51" spans="1:26">
      <c r="A51" s="434">
        <v>2022</v>
      </c>
      <c r="B51" s="435">
        <v>7359.09</v>
      </c>
      <c r="C51" s="435">
        <v>7457.68</v>
      </c>
      <c r="D51" s="435">
        <v>7565.14</v>
      </c>
      <c r="E51" s="435">
        <v>7677.45</v>
      </c>
      <c r="F51" s="435">
        <v>7785.64</v>
      </c>
      <c r="G51" s="435">
        <v>7889.98</v>
      </c>
      <c r="H51" s="435">
        <v>7950.39</v>
      </c>
      <c r="I51" s="435">
        <v>7952.5</v>
      </c>
      <c r="J51" s="435">
        <v>7958.27</v>
      </c>
      <c r="K51" s="435">
        <v>7965.04</v>
      </c>
      <c r="L51" s="435">
        <v>7966.9</v>
      </c>
      <c r="M51" s="435">
        <v>7971.96</v>
      </c>
      <c r="N51" s="415"/>
      <c r="O51" s="436" t="str">
        <f t="shared" si="1"/>
        <v>202201</v>
      </c>
      <c r="P51" s="436" t="str">
        <f t="shared" si="1"/>
        <v>202202</v>
      </c>
      <c r="Q51" s="436" t="str">
        <f t="shared" si="1"/>
        <v>202203</v>
      </c>
      <c r="R51" s="436" t="str">
        <f t="shared" si="1"/>
        <v>202204</v>
      </c>
      <c r="S51" s="436" t="str">
        <f t="shared" si="1"/>
        <v>202205</v>
      </c>
      <c r="T51" s="436" t="str">
        <f t="shared" si="1"/>
        <v>202206</v>
      </c>
      <c r="U51" s="436" t="str">
        <f t="shared" si="1"/>
        <v>202207</v>
      </c>
      <c r="V51" s="436" t="str">
        <f t="shared" si="1"/>
        <v>202208</v>
      </c>
      <c r="W51" s="436" t="str">
        <f t="shared" si="1"/>
        <v>202209</v>
      </c>
      <c r="X51" s="436" t="str">
        <f t="shared" si="1"/>
        <v>202210</v>
      </c>
      <c r="Y51" s="436" t="str">
        <f t="shared" si="1"/>
        <v>202211</v>
      </c>
      <c r="Z51" s="436" t="str">
        <f t="shared" si="1"/>
        <v>202212</v>
      </c>
    </row>
    <row r="52" spans="1:26">
      <c r="A52" s="434">
        <v>2023</v>
      </c>
      <c r="B52" s="541">
        <v>7976.68</v>
      </c>
      <c r="C52" s="541">
        <v>7989.84</v>
      </c>
      <c r="D52" s="541">
        <v>8000.61</v>
      </c>
      <c r="E52" s="437">
        <f t="shared" ref="D52:M67" si="2">IF(AND(R52&gt;=$B$4,R52&lt;=$C$4),(1+$B$7/12)*D52,(1+$E$7/12)*D52)</f>
        <v>8107.2848000000004</v>
      </c>
      <c r="F52" s="437">
        <f t="shared" si="2"/>
        <v>8215.3819306666683</v>
      </c>
      <c r="G52" s="437">
        <f t="shared" si="2"/>
        <v>8324.9203564088912</v>
      </c>
      <c r="H52" s="437">
        <f t="shared" si="2"/>
        <v>8435.9192944943443</v>
      </c>
      <c r="I52" s="437">
        <f t="shared" si="2"/>
        <v>8548.3982184209362</v>
      </c>
      <c r="J52" s="437">
        <f t="shared" si="2"/>
        <v>8662.3768613332159</v>
      </c>
      <c r="K52" s="437">
        <f t="shared" si="2"/>
        <v>8777.8752194843255</v>
      </c>
      <c r="L52" s="437">
        <f t="shared" si="2"/>
        <v>8894.9135557441168</v>
      </c>
      <c r="M52" s="437">
        <f t="shared" si="2"/>
        <v>9013.5124031540399</v>
      </c>
      <c r="N52" s="415"/>
      <c r="O52" s="436" t="str">
        <f t="shared" si="1"/>
        <v>202301</v>
      </c>
      <c r="P52" s="436" t="str">
        <f t="shared" si="1"/>
        <v>202302</v>
      </c>
      <c r="Q52" s="436" t="str">
        <f t="shared" si="1"/>
        <v>202303</v>
      </c>
      <c r="R52" s="436" t="str">
        <f t="shared" si="1"/>
        <v>202304</v>
      </c>
      <c r="S52" s="436" t="str">
        <f t="shared" si="1"/>
        <v>202305</v>
      </c>
      <c r="T52" s="436" t="str">
        <f t="shared" si="1"/>
        <v>202306</v>
      </c>
      <c r="U52" s="436" t="str">
        <f t="shared" si="1"/>
        <v>202307</v>
      </c>
      <c r="V52" s="436" t="str">
        <f t="shared" si="1"/>
        <v>202308</v>
      </c>
      <c r="W52" s="436" t="str">
        <f t="shared" si="1"/>
        <v>202309</v>
      </c>
      <c r="X52" s="436" t="str">
        <f t="shared" si="1"/>
        <v>202310</v>
      </c>
      <c r="Y52" s="436" t="str">
        <f t="shared" si="1"/>
        <v>202311</v>
      </c>
      <c r="Z52" s="436" t="str">
        <f t="shared" si="1"/>
        <v>202312</v>
      </c>
    </row>
    <row r="53" spans="1:26">
      <c r="A53" s="434">
        <v>2024</v>
      </c>
      <c r="B53" s="437">
        <f t="shared" ref="B53:B99" si="3">IF(AND(O53&gt;=$B$4,O53&lt;=$C$4),(1+$B$7/12)*$M52,(1+$E$7/12)*$M52)</f>
        <v>9073.6024858417331</v>
      </c>
      <c r="C53" s="437">
        <f t="shared" ref="C53:M89" si="4">IF(AND(P53&gt;=$B$4,P53&lt;=$C$4),(1+$B$7/12)*B53,(1+$E$7/12)*B53)</f>
        <v>9134.0931690806774</v>
      </c>
      <c r="D53" s="437">
        <f t="shared" si="2"/>
        <v>9194.9871235412138</v>
      </c>
      <c r="E53" s="437">
        <f t="shared" si="2"/>
        <v>9256.2870376981555</v>
      </c>
      <c r="F53" s="437">
        <f t="shared" si="2"/>
        <v>9317.9956179494766</v>
      </c>
      <c r="G53" s="437">
        <f t="shared" si="2"/>
        <v>9380.1155887358054</v>
      </c>
      <c r="H53" s="437">
        <f t="shared" si="2"/>
        <v>9442.6496926607106</v>
      </c>
      <c r="I53" s="437">
        <f t="shared" si="2"/>
        <v>9505.6006906117818</v>
      </c>
      <c r="J53" s="437">
        <f t="shared" si="2"/>
        <v>9568.9713618825263</v>
      </c>
      <c r="K53" s="437">
        <f t="shared" si="2"/>
        <v>9632.7645042950753</v>
      </c>
      <c r="L53" s="437">
        <f t="shared" si="2"/>
        <v>9696.9829343237088</v>
      </c>
      <c r="M53" s="437">
        <f t="shared" si="2"/>
        <v>9761.6294872191993</v>
      </c>
      <c r="N53" s="415"/>
      <c r="O53" s="436" t="str">
        <f t="shared" si="1"/>
        <v>202401</v>
      </c>
      <c r="P53" s="436" t="str">
        <f t="shared" si="1"/>
        <v>202402</v>
      </c>
      <c r="Q53" s="436" t="str">
        <f t="shared" si="1"/>
        <v>202403</v>
      </c>
      <c r="R53" s="436" t="str">
        <f t="shared" si="1"/>
        <v>202404</v>
      </c>
      <c r="S53" s="436" t="str">
        <f t="shared" si="1"/>
        <v>202405</v>
      </c>
      <c r="T53" s="436" t="str">
        <f t="shared" si="1"/>
        <v>202406</v>
      </c>
      <c r="U53" s="436" t="str">
        <f t="shared" si="1"/>
        <v>202407</v>
      </c>
      <c r="V53" s="436" t="str">
        <f t="shared" si="1"/>
        <v>202408</v>
      </c>
      <c r="W53" s="436" t="str">
        <f t="shared" si="1"/>
        <v>202409</v>
      </c>
      <c r="X53" s="436" t="str">
        <f t="shared" si="1"/>
        <v>202410</v>
      </c>
      <c r="Y53" s="436" t="str">
        <f t="shared" si="1"/>
        <v>202411</v>
      </c>
      <c r="Z53" s="436" t="str">
        <f t="shared" si="1"/>
        <v>202412</v>
      </c>
    </row>
    <row r="54" spans="1:26">
      <c r="A54" s="434">
        <v>2025</v>
      </c>
      <c r="B54" s="437">
        <f t="shared" si="3"/>
        <v>9826.7070171339928</v>
      </c>
      <c r="C54" s="437">
        <f t="shared" si="4"/>
        <v>9892.218397248218</v>
      </c>
      <c r="D54" s="437">
        <f t="shared" si="2"/>
        <v>9958.1665198965384</v>
      </c>
      <c r="E54" s="437">
        <f t="shared" si="2"/>
        <v>10024.554296695847</v>
      </c>
      <c r="F54" s="437">
        <f t="shared" si="2"/>
        <v>10091.384658673818</v>
      </c>
      <c r="G54" s="437">
        <f t="shared" si="2"/>
        <v>10158.66055639831</v>
      </c>
      <c r="H54" s="437">
        <f t="shared" si="2"/>
        <v>10226.384960107631</v>
      </c>
      <c r="I54" s="437">
        <f t="shared" si="2"/>
        <v>10294.56085984168</v>
      </c>
      <c r="J54" s="437">
        <f t="shared" si="2"/>
        <v>10363.191265573958</v>
      </c>
      <c r="K54" s="437">
        <f t="shared" si="2"/>
        <v>10432.279207344451</v>
      </c>
      <c r="L54" s="437">
        <f t="shared" si="2"/>
        <v>10501.827735393414</v>
      </c>
      <c r="M54" s="437">
        <f t="shared" si="2"/>
        <v>10571.839920296035</v>
      </c>
      <c r="N54" s="415"/>
      <c r="O54" s="436" t="str">
        <f t="shared" si="1"/>
        <v>202501</v>
      </c>
      <c r="P54" s="436" t="str">
        <f t="shared" si="1"/>
        <v>202502</v>
      </c>
      <c r="Q54" s="436" t="str">
        <f t="shared" si="1"/>
        <v>202503</v>
      </c>
      <c r="R54" s="436" t="str">
        <f t="shared" si="1"/>
        <v>202504</v>
      </c>
      <c r="S54" s="436" t="str">
        <f t="shared" si="1"/>
        <v>202505</v>
      </c>
      <c r="T54" s="436" t="str">
        <f t="shared" si="1"/>
        <v>202506</v>
      </c>
      <c r="U54" s="436" t="str">
        <f t="shared" si="1"/>
        <v>202507</v>
      </c>
      <c r="V54" s="436" t="str">
        <f t="shared" si="1"/>
        <v>202508</v>
      </c>
      <c r="W54" s="436" t="str">
        <f t="shared" si="1"/>
        <v>202509</v>
      </c>
      <c r="X54" s="436" t="str">
        <f t="shared" si="1"/>
        <v>202510</v>
      </c>
      <c r="Y54" s="436" t="str">
        <f t="shared" si="1"/>
        <v>202511</v>
      </c>
      <c r="Z54" s="436" t="str">
        <f t="shared" si="1"/>
        <v>202512</v>
      </c>
    </row>
    <row r="55" spans="1:26">
      <c r="A55" s="434">
        <v>2026</v>
      </c>
      <c r="B55" s="437">
        <f t="shared" si="3"/>
        <v>10642.318853098008</v>
      </c>
      <c r="C55" s="437">
        <f t="shared" si="4"/>
        <v>10713.267645451993</v>
      </c>
      <c r="D55" s="437">
        <f t="shared" si="2"/>
        <v>10784.689429755006</v>
      </c>
      <c r="E55" s="437">
        <f t="shared" si="2"/>
        <v>10856.587359286705</v>
      </c>
      <c r="F55" s="437">
        <f t="shared" si="2"/>
        <v>10928.964608348615</v>
      </c>
      <c r="G55" s="437">
        <f t="shared" si="2"/>
        <v>11001.824372404271</v>
      </c>
      <c r="H55" s="437">
        <f t="shared" si="2"/>
        <v>11075.169868220299</v>
      </c>
      <c r="I55" s="437">
        <f t="shared" si="2"/>
        <v>11149.004334008434</v>
      </c>
      <c r="J55" s="437">
        <f t="shared" si="2"/>
        <v>11223.33102956849</v>
      </c>
      <c r="K55" s="437">
        <f t="shared" si="2"/>
        <v>11298.153236432279</v>
      </c>
      <c r="L55" s="437">
        <f t="shared" si="2"/>
        <v>11373.474258008493</v>
      </c>
      <c r="M55" s="437">
        <f t="shared" si="2"/>
        <v>11449.297419728549</v>
      </c>
      <c r="N55" s="415"/>
      <c r="O55" s="436" t="str">
        <f t="shared" ref="O55:Z76" si="5">$A55&amp;TEXT(B$18,"00")</f>
        <v>202601</v>
      </c>
      <c r="P55" s="436" t="str">
        <f t="shared" si="5"/>
        <v>202602</v>
      </c>
      <c r="Q55" s="436" t="str">
        <f t="shared" si="5"/>
        <v>202603</v>
      </c>
      <c r="R55" s="436" t="str">
        <f t="shared" si="5"/>
        <v>202604</v>
      </c>
      <c r="S55" s="436" t="str">
        <f t="shared" si="5"/>
        <v>202605</v>
      </c>
      <c r="T55" s="436" t="str">
        <f t="shared" si="5"/>
        <v>202606</v>
      </c>
      <c r="U55" s="436" t="str">
        <f t="shared" si="5"/>
        <v>202607</v>
      </c>
      <c r="V55" s="436" t="str">
        <f t="shared" si="5"/>
        <v>202608</v>
      </c>
      <c r="W55" s="436" t="str">
        <f t="shared" si="5"/>
        <v>202609</v>
      </c>
      <c r="X55" s="436" t="str">
        <f t="shared" si="5"/>
        <v>202610</v>
      </c>
      <c r="Y55" s="436" t="str">
        <f t="shared" si="5"/>
        <v>202611</v>
      </c>
      <c r="Z55" s="436" t="str">
        <f t="shared" si="5"/>
        <v>202612</v>
      </c>
    </row>
    <row r="56" spans="1:26">
      <c r="A56" s="434">
        <v>2027</v>
      </c>
      <c r="B56" s="437">
        <f t="shared" si="3"/>
        <v>11525.626069193406</v>
      </c>
      <c r="C56" s="437">
        <f t="shared" si="4"/>
        <v>11602.463576321361</v>
      </c>
      <c r="D56" s="437">
        <f t="shared" si="2"/>
        <v>11679.813333496835</v>
      </c>
      <c r="E56" s="437">
        <f t="shared" si="2"/>
        <v>11757.678755720146</v>
      </c>
      <c r="F56" s="437">
        <f t="shared" si="2"/>
        <v>11836.063280758279</v>
      </c>
      <c r="G56" s="437">
        <f t="shared" si="2"/>
        <v>11914.970369296667</v>
      </c>
      <c r="H56" s="437">
        <f t="shared" si="2"/>
        <v>11994.403505091977</v>
      </c>
      <c r="I56" s="437">
        <f t="shared" si="2"/>
        <v>12074.366195125924</v>
      </c>
      <c r="J56" s="437">
        <f t="shared" si="2"/>
        <v>12154.861969760095</v>
      </c>
      <c r="K56" s="437">
        <f t="shared" si="2"/>
        <v>12235.894382891829</v>
      </c>
      <c r="L56" s="437">
        <f t="shared" si="2"/>
        <v>12317.467012111107</v>
      </c>
      <c r="M56" s="437">
        <f t="shared" si="2"/>
        <v>12399.583458858513</v>
      </c>
      <c r="N56" s="415"/>
      <c r="O56" s="436" t="str">
        <f t="shared" si="5"/>
        <v>202701</v>
      </c>
      <c r="P56" s="436" t="str">
        <f t="shared" si="5"/>
        <v>202702</v>
      </c>
      <c r="Q56" s="436" t="str">
        <f t="shared" si="5"/>
        <v>202703</v>
      </c>
      <c r="R56" s="436" t="str">
        <f t="shared" si="5"/>
        <v>202704</v>
      </c>
      <c r="S56" s="436" t="str">
        <f t="shared" si="5"/>
        <v>202705</v>
      </c>
      <c r="T56" s="436" t="str">
        <f t="shared" si="5"/>
        <v>202706</v>
      </c>
      <c r="U56" s="436" t="str">
        <f t="shared" si="5"/>
        <v>202707</v>
      </c>
      <c r="V56" s="436" t="str">
        <f t="shared" si="5"/>
        <v>202708</v>
      </c>
      <c r="W56" s="436" t="str">
        <f t="shared" si="5"/>
        <v>202709</v>
      </c>
      <c r="X56" s="436" t="str">
        <f t="shared" si="5"/>
        <v>202710</v>
      </c>
      <c r="Y56" s="436" t="str">
        <f t="shared" si="5"/>
        <v>202711</v>
      </c>
      <c r="Z56" s="436" t="str">
        <f t="shared" si="5"/>
        <v>202712</v>
      </c>
    </row>
    <row r="57" spans="1:26">
      <c r="A57" s="434">
        <v>2028</v>
      </c>
      <c r="B57" s="437">
        <f t="shared" si="3"/>
        <v>12482.247348584235</v>
      </c>
      <c r="C57" s="437">
        <f t="shared" si="4"/>
        <v>12565.462330908129</v>
      </c>
      <c r="D57" s="437">
        <f t="shared" si="2"/>
        <v>12649.23207978085</v>
      </c>
      <c r="E57" s="437">
        <f t="shared" si="2"/>
        <v>12733.560293646055</v>
      </c>
      <c r="F57" s="437">
        <f t="shared" si="2"/>
        <v>12818.450695603695</v>
      </c>
      <c r="G57" s="437">
        <f t="shared" si="2"/>
        <v>12903.907033574385</v>
      </c>
      <c r="H57" s="437">
        <f t="shared" si="2"/>
        <v>12989.93308046488</v>
      </c>
      <c r="I57" s="437">
        <f t="shared" si="2"/>
        <v>13076.532634334644</v>
      </c>
      <c r="J57" s="437">
        <f t="shared" si="2"/>
        <v>13163.709518563541</v>
      </c>
      <c r="K57" s="437">
        <f t="shared" si="2"/>
        <v>13251.46758202063</v>
      </c>
      <c r="L57" s="437">
        <f t="shared" si="2"/>
        <v>13339.8106992341</v>
      </c>
      <c r="M57" s="437">
        <f t="shared" si="2"/>
        <v>13428.742770562327</v>
      </c>
      <c r="N57" s="415"/>
      <c r="O57" s="436" t="str">
        <f t="shared" si="5"/>
        <v>202801</v>
      </c>
      <c r="P57" s="436" t="str">
        <f t="shared" si="5"/>
        <v>202802</v>
      </c>
      <c r="Q57" s="436" t="str">
        <f t="shared" si="5"/>
        <v>202803</v>
      </c>
      <c r="R57" s="436" t="str">
        <f t="shared" si="5"/>
        <v>202804</v>
      </c>
      <c r="S57" s="436" t="str">
        <f t="shared" si="5"/>
        <v>202805</v>
      </c>
      <c r="T57" s="436" t="str">
        <f t="shared" si="5"/>
        <v>202806</v>
      </c>
      <c r="U57" s="436" t="str">
        <f t="shared" si="5"/>
        <v>202807</v>
      </c>
      <c r="V57" s="436" t="str">
        <f t="shared" si="5"/>
        <v>202808</v>
      </c>
      <c r="W57" s="436" t="str">
        <f t="shared" si="5"/>
        <v>202809</v>
      </c>
      <c r="X57" s="436" t="str">
        <f t="shared" si="5"/>
        <v>202810</v>
      </c>
      <c r="Y57" s="436" t="str">
        <f t="shared" si="5"/>
        <v>202811</v>
      </c>
      <c r="Z57" s="436" t="str">
        <f t="shared" si="5"/>
        <v>202812</v>
      </c>
    </row>
    <row r="58" spans="1:26">
      <c r="A58" s="434">
        <v>2029</v>
      </c>
      <c r="B58" s="437">
        <f t="shared" si="3"/>
        <v>13518.267722366074</v>
      </c>
      <c r="C58" s="437">
        <f t="shared" si="4"/>
        <v>13608.389507181846</v>
      </c>
      <c r="D58" s="437">
        <f t="shared" si="2"/>
        <v>13699.11210389639</v>
      </c>
      <c r="E58" s="437">
        <f t="shared" si="2"/>
        <v>13790.439517922365</v>
      </c>
      <c r="F58" s="437">
        <f t="shared" si="2"/>
        <v>13882.37578137518</v>
      </c>
      <c r="G58" s="437">
        <f t="shared" si="2"/>
        <v>13974.924953251013</v>
      </c>
      <c r="H58" s="437">
        <f t="shared" si="2"/>
        <v>14068.091119606019</v>
      </c>
      <c r="I58" s="437">
        <f t="shared" si="2"/>
        <v>14161.878393736724</v>
      </c>
      <c r="J58" s="437">
        <f t="shared" si="2"/>
        <v>14256.290916361635</v>
      </c>
      <c r="K58" s="437">
        <f t="shared" si="2"/>
        <v>14351.332855804045</v>
      </c>
      <c r="L58" s="437">
        <f t="shared" si="2"/>
        <v>14447.008408176071</v>
      </c>
      <c r="M58" s="437">
        <f t="shared" si="2"/>
        <v>14543.321797563911</v>
      </c>
      <c r="N58" s="415"/>
      <c r="O58" s="436" t="str">
        <f t="shared" si="5"/>
        <v>202901</v>
      </c>
      <c r="P58" s="436" t="str">
        <f t="shared" si="5"/>
        <v>202902</v>
      </c>
      <c r="Q58" s="436" t="str">
        <f t="shared" si="5"/>
        <v>202903</v>
      </c>
      <c r="R58" s="436" t="str">
        <f t="shared" si="5"/>
        <v>202904</v>
      </c>
      <c r="S58" s="436" t="str">
        <f t="shared" si="5"/>
        <v>202905</v>
      </c>
      <c r="T58" s="436" t="str">
        <f t="shared" si="5"/>
        <v>202906</v>
      </c>
      <c r="U58" s="436" t="str">
        <f t="shared" si="5"/>
        <v>202907</v>
      </c>
      <c r="V58" s="436" t="str">
        <f t="shared" si="5"/>
        <v>202908</v>
      </c>
      <c r="W58" s="436" t="str">
        <f t="shared" si="5"/>
        <v>202909</v>
      </c>
      <c r="X58" s="436" t="str">
        <f t="shared" si="5"/>
        <v>202910</v>
      </c>
      <c r="Y58" s="436" t="str">
        <f t="shared" si="5"/>
        <v>202911</v>
      </c>
      <c r="Z58" s="436" t="str">
        <f t="shared" si="5"/>
        <v>202912</v>
      </c>
    </row>
    <row r="59" spans="1:26">
      <c r="A59" s="434">
        <v>2030</v>
      </c>
      <c r="B59" s="437">
        <f t="shared" si="3"/>
        <v>14640.277276214336</v>
      </c>
      <c r="C59" s="437">
        <f t="shared" si="4"/>
        <v>14737.879124722431</v>
      </c>
      <c r="D59" s="437">
        <f t="shared" si="2"/>
        <v>14836.13165222058</v>
      </c>
      <c r="E59" s="437">
        <f t="shared" si="2"/>
        <v>14935.039196568716</v>
      </c>
      <c r="F59" s="437">
        <f t="shared" si="2"/>
        <v>15034.60612454584</v>
      </c>
      <c r="G59" s="437">
        <f t="shared" si="2"/>
        <v>15134.836832042811</v>
      </c>
      <c r="H59" s="437">
        <f t="shared" si="2"/>
        <v>15235.735744256428</v>
      </c>
      <c r="I59" s="437">
        <f t="shared" si="2"/>
        <v>15337.307315884804</v>
      </c>
      <c r="J59" s="437">
        <f t="shared" si="2"/>
        <v>15439.556031324035</v>
      </c>
      <c r="K59" s="437">
        <f t="shared" si="2"/>
        <v>15542.486404866195</v>
      </c>
      <c r="L59" s="437">
        <f t="shared" si="2"/>
        <v>15646.102980898635</v>
      </c>
      <c r="M59" s="437">
        <f t="shared" si="2"/>
        <v>15750.410334104625</v>
      </c>
      <c r="N59" s="415"/>
      <c r="O59" s="436" t="str">
        <f t="shared" si="5"/>
        <v>203001</v>
      </c>
      <c r="P59" s="436" t="str">
        <f t="shared" si="5"/>
        <v>203002</v>
      </c>
      <c r="Q59" s="436" t="str">
        <f t="shared" si="5"/>
        <v>203003</v>
      </c>
      <c r="R59" s="436" t="str">
        <f t="shared" si="5"/>
        <v>203004</v>
      </c>
      <c r="S59" s="436" t="str">
        <f t="shared" si="5"/>
        <v>203005</v>
      </c>
      <c r="T59" s="436" t="str">
        <f t="shared" si="5"/>
        <v>203006</v>
      </c>
      <c r="U59" s="436" t="str">
        <f t="shared" si="5"/>
        <v>203007</v>
      </c>
      <c r="V59" s="436" t="str">
        <f t="shared" si="5"/>
        <v>203008</v>
      </c>
      <c r="W59" s="436" t="str">
        <f t="shared" si="5"/>
        <v>203009</v>
      </c>
      <c r="X59" s="436" t="str">
        <f t="shared" si="5"/>
        <v>203010</v>
      </c>
      <c r="Y59" s="436" t="str">
        <f t="shared" si="5"/>
        <v>203011</v>
      </c>
      <c r="Z59" s="436" t="str">
        <f t="shared" si="5"/>
        <v>203012</v>
      </c>
    </row>
    <row r="60" spans="1:26">
      <c r="A60" s="434">
        <v>2031</v>
      </c>
      <c r="B60" s="437">
        <f t="shared" si="3"/>
        <v>15855.413069665321</v>
      </c>
      <c r="C60" s="437">
        <f t="shared" si="4"/>
        <v>15961.115823463089</v>
      </c>
      <c r="D60" s="437">
        <f t="shared" si="2"/>
        <v>16067.523262286175</v>
      </c>
      <c r="E60" s="437">
        <f t="shared" si="2"/>
        <v>16174.640084034749</v>
      </c>
      <c r="F60" s="437">
        <f t="shared" si="2"/>
        <v>16282.471017928312</v>
      </c>
      <c r="G60" s="437">
        <f t="shared" si="2"/>
        <v>16391.020824714498</v>
      </c>
      <c r="H60" s="437">
        <f t="shared" si="2"/>
        <v>16500.294296879259</v>
      </c>
      <c r="I60" s="437">
        <f t="shared" si="2"/>
        <v>16610.296258858452</v>
      </c>
      <c r="J60" s="437">
        <f t="shared" si="2"/>
        <v>16721.03156725084</v>
      </c>
      <c r="K60" s="437">
        <f t="shared" si="2"/>
        <v>16832.505111032511</v>
      </c>
      <c r="L60" s="437">
        <f t="shared" si="2"/>
        <v>16944.721811772728</v>
      </c>
      <c r="M60" s="437">
        <f t="shared" si="2"/>
        <v>17057.686623851212</v>
      </c>
      <c r="N60" s="415"/>
      <c r="O60" s="436" t="str">
        <f t="shared" si="5"/>
        <v>203101</v>
      </c>
      <c r="P60" s="436" t="str">
        <f t="shared" si="5"/>
        <v>203102</v>
      </c>
      <c r="Q60" s="436" t="str">
        <f t="shared" si="5"/>
        <v>203103</v>
      </c>
      <c r="R60" s="436" t="str">
        <f t="shared" si="5"/>
        <v>203104</v>
      </c>
      <c r="S60" s="436" t="str">
        <f t="shared" si="5"/>
        <v>203105</v>
      </c>
      <c r="T60" s="436" t="str">
        <f t="shared" si="5"/>
        <v>203106</v>
      </c>
      <c r="U60" s="436" t="str">
        <f t="shared" si="5"/>
        <v>203107</v>
      </c>
      <c r="V60" s="436" t="str">
        <f t="shared" si="5"/>
        <v>203108</v>
      </c>
      <c r="W60" s="436" t="str">
        <f t="shared" si="5"/>
        <v>203109</v>
      </c>
      <c r="X60" s="436" t="str">
        <f t="shared" si="5"/>
        <v>203110</v>
      </c>
      <c r="Y60" s="436" t="str">
        <f t="shared" si="5"/>
        <v>203111</v>
      </c>
      <c r="Z60" s="436" t="str">
        <f t="shared" si="5"/>
        <v>203112</v>
      </c>
    </row>
    <row r="61" spans="1:26">
      <c r="A61" s="434">
        <v>2032</v>
      </c>
      <c r="B61" s="437">
        <f t="shared" si="3"/>
        <v>17171.404534676887</v>
      </c>
      <c r="C61" s="437">
        <f t="shared" si="4"/>
        <v>17285.880564908064</v>
      </c>
      <c r="D61" s="437">
        <f t="shared" si="2"/>
        <v>17401.119768674118</v>
      </c>
      <c r="E61" s="437">
        <f t="shared" si="2"/>
        <v>17517.127233798612</v>
      </c>
      <c r="F61" s="437">
        <f t="shared" si="2"/>
        <v>17633.908082023936</v>
      </c>
      <c r="G61" s="437">
        <f t="shared" si="2"/>
        <v>17751.467469237428</v>
      </c>
      <c r="H61" s="437">
        <f t="shared" si="2"/>
        <v>17869.810585699011</v>
      </c>
      <c r="I61" s="437">
        <f t="shared" si="2"/>
        <v>17988.942656270337</v>
      </c>
      <c r="J61" s="437">
        <f t="shared" si="2"/>
        <v>18108.868940645472</v>
      </c>
      <c r="K61" s="437">
        <f t="shared" si="2"/>
        <v>18229.594733583108</v>
      </c>
      <c r="L61" s="437">
        <f t="shared" si="2"/>
        <v>18351.125365140328</v>
      </c>
      <c r="M61" s="437">
        <f t="shared" si="2"/>
        <v>18473.466200907929</v>
      </c>
      <c r="N61" s="415"/>
      <c r="O61" s="436" t="str">
        <f t="shared" si="5"/>
        <v>203201</v>
      </c>
      <c r="P61" s="436" t="str">
        <f t="shared" si="5"/>
        <v>203202</v>
      </c>
      <c r="Q61" s="436" t="str">
        <f t="shared" si="5"/>
        <v>203203</v>
      </c>
      <c r="R61" s="436" t="str">
        <f t="shared" si="5"/>
        <v>203204</v>
      </c>
      <c r="S61" s="436" t="str">
        <f t="shared" si="5"/>
        <v>203205</v>
      </c>
      <c r="T61" s="436" t="str">
        <f t="shared" si="5"/>
        <v>203206</v>
      </c>
      <c r="U61" s="436" t="str">
        <f t="shared" si="5"/>
        <v>203207</v>
      </c>
      <c r="V61" s="436" t="str">
        <f t="shared" si="5"/>
        <v>203208</v>
      </c>
      <c r="W61" s="436" t="str">
        <f t="shared" si="5"/>
        <v>203209</v>
      </c>
      <c r="X61" s="436" t="str">
        <f t="shared" si="5"/>
        <v>203210</v>
      </c>
      <c r="Y61" s="436" t="str">
        <f t="shared" si="5"/>
        <v>203211</v>
      </c>
      <c r="Z61" s="436" t="str">
        <f t="shared" si="5"/>
        <v>203212</v>
      </c>
    </row>
    <row r="62" spans="1:26">
      <c r="A62" s="434">
        <v>2033</v>
      </c>
      <c r="B62" s="437">
        <f t="shared" si="3"/>
        <v>18596.622642247316</v>
      </c>
      <c r="C62" s="437">
        <f t="shared" si="4"/>
        <v>18720.600126528963</v>
      </c>
      <c r="D62" s="437">
        <f t="shared" si="2"/>
        <v>18845.404127372487</v>
      </c>
      <c r="E62" s="437">
        <f t="shared" si="2"/>
        <v>18971.040154888302</v>
      </c>
      <c r="F62" s="437">
        <f t="shared" si="2"/>
        <v>19097.513755920889</v>
      </c>
      <c r="G62" s="437">
        <f t="shared" si="2"/>
        <v>19224.830514293695</v>
      </c>
      <c r="H62" s="437">
        <f t="shared" si="2"/>
        <v>19352.996051055652</v>
      </c>
      <c r="I62" s="437">
        <f t="shared" si="2"/>
        <v>19482.016024729353</v>
      </c>
      <c r="J62" s="437">
        <f t="shared" si="2"/>
        <v>19611.896131560879</v>
      </c>
      <c r="K62" s="437">
        <f t="shared" si="2"/>
        <v>19742.642105771283</v>
      </c>
      <c r="L62" s="437">
        <f t="shared" si="2"/>
        <v>19874.259719809757</v>
      </c>
      <c r="M62" s="437">
        <f t="shared" si="2"/>
        <v>20006.754784608489</v>
      </c>
      <c r="N62" s="415"/>
      <c r="O62" s="436" t="str">
        <f t="shared" si="5"/>
        <v>203301</v>
      </c>
      <c r="P62" s="436" t="str">
        <f t="shared" si="5"/>
        <v>203302</v>
      </c>
      <c r="Q62" s="436" t="str">
        <f t="shared" si="5"/>
        <v>203303</v>
      </c>
      <c r="R62" s="436" t="str">
        <f t="shared" si="5"/>
        <v>203304</v>
      </c>
      <c r="S62" s="436" t="str">
        <f t="shared" si="5"/>
        <v>203305</v>
      </c>
      <c r="T62" s="436" t="str">
        <f t="shared" si="5"/>
        <v>203306</v>
      </c>
      <c r="U62" s="436" t="str">
        <f t="shared" si="5"/>
        <v>203307</v>
      </c>
      <c r="V62" s="436" t="str">
        <f t="shared" si="5"/>
        <v>203308</v>
      </c>
      <c r="W62" s="436" t="str">
        <f t="shared" si="5"/>
        <v>203309</v>
      </c>
      <c r="X62" s="436" t="str">
        <f t="shared" si="5"/>
        <v>203310</v>
      </c>
      <c r="Y62" s="436" t="str">
        <f t="shared" si="5"/>
        <v>203311</v>
      </c>
      <c r="Z62" s="436" t="str">
        <f t="shared" si="5"/>
        <v>203312</v>
      </c>
    </row>
    <row r="63" spans="1:26">
      <c r="A63" s="434">
        <v>2034</v>
      </c>
      <c r="B63" s="437">
        <f t="shared" si="3"/>
        <v>20140.13314983921</v>
      </c>
      <c r="C63" s="437">
        <f t="shared" si="4"/>
        <v>20274.400704171469</v>
      </c>
      <c r="D63" s="437">
        <f t="shared" si="2"/>
        <v>20409.563375532609</v>
      </c>
      <c r="E63" s="437">
        <f t="shared" si="2"/>
        <v>20545.627131369492</v>
      </c>
      <c r="F63" s="437">
        <f t="shared" si="2"/>
        <v>20682.597978911956</v>
      </c>
      <c r="G63" s="437">
        <f t="shared" si="2"/>
        <v>20820.481965438034</v>
      </c>
      <c r="H63" s="437">
        <f t="shared" si="2"/>
        <v>20959.285178540951</v>
      </c>
      <c r="I63" s="437">
        <f t="shared" si="2"/>
        <v>21099.01374639789</v>
      </c>
      <c r="J63" s="437">
        <f t="shared" si="2"/>
        <v>21239.67383804054</v>
      </c>
      <c r="K63" s="437">
        <f t="shared" si="2"/>
        <v>21381.271663627474</v>
      </c>
      <c r="L63" s="437">
        <f t="shared" si="2"/>
        <v>21523.813474718321</v>
      </c>
      <c r="M63" s="437">
        <f t="shared" si="2"/>
        <v>21667.305564549777</v>
      </c>
      <c r="N63" s="415"/>
      <c r="O63" s="436" t="str">
        <f t="shared" si="5"/>
        <v>203401</v>
      </c>
      <c r="P63" s="436" t="str">
        <f t="shared" si="5"/>
        <v>203402</v>
      </c>
      <c r="Q63" s="436" t="str">
        <f t="shared" si="5"/>
        <v>203403</v>
      </c>
      <c r="R63" s="436" t="str">
        <f t="shared" si="5"/>
        <v>203404</v>
      </c>
      <c r="S63" s="436" t="str">
        <f t="shared" si="5"/>
        <v>203405</v>
      </c>
      <c r="T63" s="436" t="str">
        <f t="shared" si="5"/>
        <v>203406</v>
      </c>
      <c r="U63" s="436" t="str">
        <f t="shared" si="5"/>
        <v>203407</v>
      </c>
      <c r="V63" s="436" t="str">
        <f t="shared" si="5"/>
        <v>203408</v>
      </c>
      <c r="W63" s="436" t="str">
        <f t="shared" si="5"/>
        <v>203409</v>
      </c>
      <c r="X63" s="436" t="str">
        <f t="shared" si="5"/>
        <v>203410</v>
      </c>
      <c r="Y63" s="436" t="str">
        <f t="shared" si="5"/>
        <v>203411</v>
      </c>
      <c r="Z63" s="436" t="str">
        <f t="shared" si="5"/>
        <v>203412</v>
      </c>
    </row>
    <row r="64" spans="1:26">
      <c r="A64" s="434">
        <v>2035</v>
      </c>
      <c r="B64" s="437">
        <f t="shared" si="3"/>
        <v>21811.754268313442</v>
      </c>
      <c r="C64" s="437">
        <f t="shared" si="4"/>
        <v>21957.165963435531</v>
      </c>
      <c r="D64" s="437">
        <f t="shared" si="2"/>
        <v>22103.547069858432</v>
      </c>
      <c r="E64" s="437">
        <f t="shared" si="2"/>
        <v>22250.904050324152</v>
      </c>
      <c r="F64" s="437">
        <f t="shared" si="2"/>
        <v>22399.243410659645</v>
      </c>
      <c r="G64" s="437">
        <f t="shared" si="2"/>
        <v>22548.57170006404</v>
      </c>
      <c r="H64" s="437">
        <f t="shared" si="2"/>
        <v>22698.895511397797</v>
      </c>
      <c r="I64" s="437">
        <f t="shared" si="2"/>
        <v>22850.221481473782</v>
      </c>
      <c r="J64" s="437">
        <f t="shared" si="2"/>
        <v>23002.556291350273</v>
      </c>
      <c r="K64" s="437">
        <f t="shared" si="2"/>
        <v>23155.906666625939</v>
      </c>
      <c r="L64" s="437">
        <f t="shared" si="2"/>
        <v>23310.279377736777</v>
      </c>
      <c r="M64" s="437">
        <f t="shared" si="2"/>
        <v>23465.68124025502</v>
      </c>
      <c r="N64" s="415"/>
      <c r="O64" s="436" t="str">
        <f t="shared" si="5"/>
        <v>203501</v>
      </c>
      <c r="P64" s="436" t="str">
        <f t="shared" si="5"/>
        <v>203502</v>
      </c>
      <c r="Q64" s="436" t="str">
        <f t="shared" si="5"/>
        <v>203503</v>
      </c>
      <c r="R64" s="436" t="str">
        <f t="shared" si="5"/>
        <v>203504</v>
      </c>
      <c r="S64" s="436" t="str">
        <f t="shared" si="5"/>
        <v>203505</v>
      </c>
      <c r="T64" s="436" t="str">
        <f t="shared" si="5"/>
        <v>203506</v>
      </c>
      <c r="U64" s="436" t="str">
        <f t="shared" si="5"/>
        <v>203507</v>
      </c>
      <c r="V64" s="436" t="str">
        <f t="shared" si="5"/>
        <v>203508</v>
      </c>
      <c r="W64" s="436" t="str">
        <f t="shared" si="5"/>
        <v>203509</v>
      </c>
      <c r="X64" s="436" t="str">
        <f t="shared" si="5"/>
        <v>203510</v>
      </c>
      <c r="Y64" s="436" t="str">
        <f t="shared" si="5"/>
        <v>203511</v>
      </c>
      <c r="Z64" s="436" t="str">
        <f t="shared" si="5"/>
        <v>203512</v>
      </c>
    </row>
    <row r="65" spans="1:26">
      <c r="A65" s="434">
        <v>2036</v>
      </c>
      <c r="B65" s="437">
        <f t="shared" si="3"/>
        <v>23622.119115190053</v>
      </c>
      <c r="C65" s="437">
        <f t="shared" si="4"/>
        <v>23779.599909291319</v>
      </c>
      <c r="D65" s="437">
        <f t="shared" si="2"/>
        <v>23938.130575353258</v>
      </c>
      <c r="E65" s="437">
        <f t="shared" si="2"/>
        <v>24097.718112522278</v>
      </c>
      <c r="F65" s="437">
        <f t="shared" si="2"/>
        <v>24258.369566605757</v>
      </c>
      <c r="G65" s="437">
        <f t="shared" si="2"/>
        <v>24420.092030383126</v>
      </c>
      <c r="H65" s="437">
        <f t="shared" si="2"/>
        <v>24582.892643919011</v>
      </c>
      <c r="I65" s="437">
        <f t="shared" si="2"/>
        <v>24746.778594878469</v>
      </c>
      <c r="J65" s="437">
        <f t="shared" si="2"/>
        <v>24911.757118844325</v>
      </c>
      <c r="K65" s="437">
        <f t="shared" si="2"/>
        <v>25077.835499636618</v>
      </c>
      <c r="L65" s="437">
        <f t="shared" si="2"/>
        <v>25245.021069634193</v>
      </c>
      <c r="M65" s="437">
        <f t="shared" si="2"/>
        <v>25413.32121009842</v>
      </c>
      <c r="N65" s="415"/>
      <c r="O65" s="436" t="str">
        <f t="shared" si="5"/>
        <v>203601</v>
      </c>
      <c r="P65" s="436" t="str">
        <f t="shared" si="5"/>
        <v>203602</v>
      </c>
      <c r="Q65" s="436" t="str">
        <f t="shared" si="5"/>
        <v>203603</v>
      </c>
      <c r="R65" s="436" t="str">
        <f t="shared" si="5"/>
        <v>203604</v>
      </c>
      <c r="S65" s="436" t="str">
        <f t="shared" si="5"/>
        <v>203605</v>
      </c>
      <c r="T65" s="436" t="str">
        <f t="shared" si="5"/>
        <v>203606</v>
      </c>
      <c r="U65" s="436" t="str">
        <f t="shared" si="5"/>
        <v>203607</v>
      </c>
      <c r="V65" s="436" t="str">
        <f t="shared" si="5"/>
        <v>203608</v>
      </c>
      <c r="W65" s="436" t="str">
        <f t="shared" si="5"/>
        <v>203609</v>
      </c>
      <c r="X65" s="436" t="str">
        <f t="shared" si="5"/>
        <v>203610</v>
      </c>
      <c r="Y65" s="436" t="str">
        <f t="shared" si="5"/>
        <v>203611</v>
      </c>
      <c r="Z65" s="436" t="str">
        <f t="shared" si="5"/>
        <v>203612</v>
      </c>
    </row>
    <row r="66" spans="1:26">
      <c r="A66" s="434">
        <v>2037</v>
      </c>
      <c r="B66" s="437">
        <f t="shared" si="3"/>
        <v>25582.743351499073</v>
      </c>
      <c r="C66" s="437">
        <f t="shared" si="4"/>
        <v>25753.294973842399</v>
      </c>
      <c r="D66" s="437">
        <f t="shared" si="2"/>
        <v>25924.983607001348</v>
      </c>
      <c r="E66" s="437">
        <f t="shared" si="2"/>
        <v>26097.816831048021</v>
      </c>
      <c r="F66" s="437">
        <f t="shared" si="2"/>
        <v>26271.80227658834</v>
      </c>
      <c r="G66" s="437">
        <f t="shared" si="2"/>
        <v>26446.947625098928</v>
      </c>
      <c r="H66" s="437">
        <f t="shared" si="2"/>
        <v>26623.260609266254</v>
      </c>
      <c r="I66" s="437">
        <f t="shared" si="2"/>
        <v>26800.749013328026</v>
      </c>
      <c r="J66" s="437">
        <f t="shared" si="2"/>
        <v>26979.420673416877</v>
      </c>
      <c r="K66" s="437">
        <f t="shared" si="2"/>
        <v>27159.28347790632</v>
      </c>
      <c r="L66" s="437">
        <f t="shared" si="2"/>
        <v>27340.345367759026</v>
      </c>
      <c r="M66" s="437">
        <f t="shared" si="2"/>
        <v>27522.614336877417</v>
      </c>
      <c r="N66" s="415"/>
      <c r="O66" s="436" t="str">
        <f t="shared" si="5"/>
        <v>203701</v>
      </c>
      <c r="P66" s="436" t="str">
        <f t="shared" si="5"/>
        <v>203702</v>
      </c>
      <c r="Q66" s="436" t="str">
        <f t="shared" si="5"/>
        <v>203703</v>
      </c>
      <c r="R66" s="436" t="str">
        <f t="shared" si="5"/>
        <v>203704</v>
      </c>
      <c r="S66" s="436" t="str">
        <f t="shared" si="5"/>
        <v>203705</v>
      </c>
      <c r="T66" s="436" t="str">
        <f t="shared" si="5"/>
        <v>203706</v>
      </c>
      <c r="U66" s="436" t="str">
        <f t="shared" si="5"/>
        <v>203707</v>
      </c>
      <c r="V66" s="436" t="str">
        <f t="shared" si="5"/>
        <v>203708</v>
      </c>
      <c r="W66" s="436" t="str">
        <f t="shared" si="5"/>
        <v>203709</v>
      </c>
      <c r="X66" s="436" t="str">
        <f t="shared" si="5"/>
        <v>203710</v>
      </c>
      <c r="Y66" s="436" t="str">
        <f t="shared" si="5"/>
        <v>203711</v>
      </c>
      <c r="Z66" s="436" t="str">
        <f t="shared" si="5"/>
        <v>203712</v>
      </c>
    </row>
    <row r="67" spans="1:26">
      <c r="A67" s="434">
        <v>2038</v>
      </c>
      <c r="B67" s="437">
        <f t="shared" si="3"/>
        <v>27706.098432456598</v>
      </c>
      <c r="C67" s="437">
        <f t="shared" si="4"/>
        <v>27890.805755339639</v>
      </c>
      <c r="D67" s="437">
        <f t="shared" si="2"/>
        <v>28076.744460375234</v>
      </c>
      <c r="E67" s="437">
        <f t="shared" si="2"/>
        <v>28263.922756777734</v>
      </c>
      <c r="F67" s="437">
        <f t="shared" si="2"/>
        <v>28452.348908489585</v>
      </c>
      <c r="G67" s="437">
        <f t="shared" si="2"/>
        <v>28642.031234546179</v>
      </c>
      <c r="H67" s="437">
        <f t="shared" si="2"/>
        <v>28832.978109443153</v>
      </c>
      <c r="I67" s="437">
        <f t="shared" si="2"/>
        <v>29025.197963506103</v>
      </c>
      <c r="J67" s="437">
        <f t="shared" si="2"/>
        <v>29218.699283262809</v>
      </c>
      <c r="K67" s="437">
        <f t="shared" si="2"/>
        <v>29413.490611817891</v>
      </c>
      <c r="L67" s="437">
        <f t="shared" si="2"/>
        <v>29609.58054923001</v>
      </c>
      <c r="M67" s="437">
        <f t="shared" si="2"/>
        <v>29806.97775289154</v>
      </c>
      <c r="N67" s="415"/>
      <c r="O67" s="436" t="str">
        <f t="shared" si="5"/>
        <v>203801</v>
      </c>
      <c r="P67" s="436" t="str">
        <f t="shared" si="5"/>
        <v>203802</v>
      </c>
      <c r="Q67" s="436" t="str">
        <f t="shared" si="5"/>
        <v>203803</v>
      </c>
      <c r="R67" s="436" t="str">
        <f t="shared" si="5"/>
        <v>203804</v>
      </c>
      <c r="S67" s="436" t="str">
        <f t="shared" si="5"/>
        <v>203805</v>
      </c>
      <c r="T67" s="436" t="str">
        <f t="shared" si="5"/>
        <v>203806</v>
      </c>
      <c r="U67" s="436" t="str">
        <f t="shared" si="5"/>
        <v>203807</v>
      </c>
      <c r="V67" s="436" t="str">
        <f t="shared" si="5"/>
        <v>203808</v>
      </c>
      <c r="W67" s="436" t="str">
        <f t="shared" si="5"/>
        <v>203809</v>
      </c>
      <c r="X67" s="436" t="str">
        <f t="shared" si="5"/>
        <v>203810</v>
      </c>
      <c r="Y67" s="436" t="str">
        <f t="shared" si="5"/>
        <v>203811</v>
      </c>
      <c r="Z67" s="436" t="str">
        <f t="shared" si="5"/>
        <v>203812</v>
      </c>
    </row>
    <row r="68" spans="1:26">
      <c r="A68" s="434">
        <v>2039</v>
      </c>
      <c r="B68" s="437">
        <f t="shared" si="3"/>
        <v>30005.690937910815</v>
      </c>
      <c r="C68" s="437">
        <f t="shared" si="4"/>
        <v>30205.728877496884</v>
      </c>
      <c r="D68" s="437">
        <f t="shared" si="4"/>
        <v>30407.10040334686</v>
      </c>
      <c r="E68" s="437">
        <f t="shared" si="4"/>
        <v>30609.814406035835</v>
      </c>
      <c r="F68" s="437">
        <f t="shared" si="4"/>
        <v>30813.879835409407</v>
      </c>
      <c r="G68" s="437">
        <f t="shared" si="4"/>
        <v>31019.305700978803</v>
      </c>
      <c r="H68" s="437">
        <f t="shared" si="4"/>
        <v>31226.101072318659</v>
      </c>
      <c r="I68" s="437">
        <f t="shared" si="4"/>
        <v>31434.275079467447</v>
      </c>
      <c r="J68" s="437">
        <f t="shared" si="4"/>
        <v>31643.83691333056</v>
      </c>
      <c r="K68" s="437">
        <f t="shared" si="4"/>
        <v>31854.795826086094</v>
      </c>
      <c r="L68" s="437">
        <f t="shared" si="4"/>
        <v>32067.161131593333</v>
      </c>
      <c r="M68" s="437">
        <f t="shared" si="4"/>
        <v>32280.942205803953</v>
      </c>
      <c r="N68" s="415"/>
      <c r="O68" s="436" t="str">
        <f t="shared" si="5"/>
        <v>203901</v>
      </c>
      <c r="P68" s="436" t="str">
        <f t="shared" si="5"/>
        <v>203902</v>
      </c>
      <c r="Q68" s="436" t="str">
        <f t="shared" si="5"/>
        <v>203903</v>
      </c>
      <c r="R68" s="436" t="str">
        <f t="shared" si="5"/>
        <v>203904</v>
      </c>
      <c r="S68" s="436" t="str">
        <f t="shared" si="5"/>
        <v>203905</v>
      </c>
      <c r="T68" s="436" t="str">
        <f t="shared" si="5"/>
        <v>203906</v>
      </c>
      <c r="U68" s="436" t="str">
        <f t="shared" si="5"/>
        <v>203907</v>
      </c>
      <c r="V68" s="436" t="str">
        <f t="shared" si="5"/>
        <v>203908</v>
      </c>
      <c r="W68" s="436" t="str">
        <f t="shared" si="5"/>
        <v>203909</v>
      </c>
      <c r="X68" s="436" t="str">
        <f t="shared" si="5"/>
        <v>203910</v>
      </c>
      <c r="Y68" s="436" t="str">
        <f t="shared" si="5"/>
        <v>203911</v>
      </c>
      <c r="Z68" s="436" t="str">
        <f t="shared" si="5"/>
        <v>203912</v>
      </c>
    </row>
    <row r="69" spans="1:26">
      <c r="A69" s="434">
        <v>2040</v>
      </c>
      <c r="B69" s="437">
        <f t="shared" si="3"/>
        <v>32496.148487175979</v>
      </c>
      <c r="C69" s="437">
        <f t="shared" si="4"/>
        <v>32712.789477090482</v>
      </c>
      <c r="D69" s="437">
        <f t="shared" si="4"/>
        <v>32930.87474027108</v>
      </c>
      <c r="E69" s="437">
        <f t="shared" si="4"/>
        <v>33150.413905206216</v>
      </c>
      <c r="F69" s="437">
        <f t="shared" si="4"/>
        <v>33371.416664574259</v>
      </c>
      <c r="G69" s="437">
        <f t="shared" si="4"/>
        <v>33593.892775671418</v>
      </c>
      <c r="H69" s="437">
        <f t="shared" si="4"/>
        <v>33817.852060842561</v>
      </c>
      <c r="I69" s="437">
        <f t="shared" si="4"/>
        <v>34043.304407914839</v>
      </c>
      <c r="J69" s="437">
        <f t="shared" si="4"/>
        <v>34270.259770634271</v>
      </c>
      <c r="K69" s="437">
        <f t="shared" si="4"/>
        <v>34498.728169105161</v>
      </c>
      <c r="L69" s="437">
        <f t="shared" si="4"/>
        <v>34728.719690232523</v>
      </c>
      <c r="M69" s="437">
        <f t="shared" si="4"/>
        <v>34960.244488167402</v>
      </c>
      <c r="N69" s="415"/>
      <c r="O69" s="436" t="str">
        <f t="shared" si="5"/>
        <v>204001</v>
      </c>
      <c r="P69" s="436" t="str">
        <f t="shared" si="5"/>
        <v>204002</v>
      </c>
      <c r="Q69" s="436" t="str">
        <f t="shared" si="5"/>
        <v>204003</v>
      </c>
      <c r="R69" s="436" t="str">
        <f t="shared" si="5"/>
        <v>204004</v>
      </c>
      <c r="S69" s="436" t="str">
        <f t="shared" si="5"/>
        <v>204005</v>
      </c>
      <c r="T69" s="436" t="str">
        <f t="shared" si="5"/>
        <v>204006</v>
      </c>
      <c r="U69" s="436" t="str">
        <f t="shared" si="5"/>
        <v>204007</v>
      </c>
      <c r="V69" s="436" t="str">
        <f t="shared" si="5"/>
        <v>204008</v>
      </c>
      <c r="W69" s="436" t="str">
        <f t="shared" si="5"/>
        <v>204009</v>
      </c>
      <c r="X69" s="436" t="str">
        <f t="shared" si="5"/>
        <v>204010</v>
      </c>
      <c r="Y69" s="436" t="str">
        <f t="shared" si="5"/>
        <v>204011</v>
      </c>
      <c r="Z69" s="436" t="str">
        <f t="shared" si="5"/>
        <v>204012</v>
      </c>
    </row>
    <row r="70" spans="1:26">
      <c r="A70" s="434">
        <v>2041</v>
      </c>
      <c r="B70" s="437">
        <f t="shared" si="3"/>
        <v>35193.31278475518</v>
      </c>
      <c r="C70" s="437">
        <f t="shared" si="4"/>
        <v>35427.934869986879</v>
      </c>
      <c r="D70" s="437">
        <f t="shared" si="4"/>
        <v>35664.121102453457</v>
      </c>
      <c r="E70" s="437">
        <f t="shared" si="4"/>
        <v>35901.881909803145</v>
      </c>
      <c r="F70" s="437">
        <f t="shared" si="4"/>
        <v>36141.227789201832</v>
      </c>
      <c r="G70" s="437">
        <f t="shared" si="4"/>
        <v>36382.16930779651</v>
      </c>
      <c r="H70" s="437">
        <f t="shared" si="4"/>
        <v>36624.717103181814</v>
      </c>
      <c r="I70" s="437">
        <f t="shared" si="4"/>
        <v>36868.88188386969</v>
      </c>
      <c r="J70" s="437">
        <f t="shared" si="4"/>
        <v>37114.674429762155</v>
      </c>
      <c r="K70" s="437">
        <f t="shared" si="4"/>
        <v>37362.105592627231</v>
      </c>
      <c r="L70" s="437">
        <f t="shared" si="4"/>
        <v>37611.186296578075</v>
      </c>
      <c r="M70" s="437">
        <f t="shared" si="4"/>
        <v>37861.927538555261</v>
      </c>
      <c r="N70" s="415"/>
      <c r="O70" s="436" t="str">
        <f t="shared" si="5"/>
        <v>204101</v>
      </c>
      <c r="P70" s="436" t="str">
        <f t="shared" si="5"/>
        <v>204102</v>
      </c>
      <c r="Q70" s="436" t="str">
        <f t="shared" si="5"/>
        <v>204103</v>
      </c>
      <c r="R70" s="436" t="str">
        <f t="shared" si="5"/>
        <v>204104</v>
      </c>
      <c r="S70" s="436" t="str">
        <f t="shared" si="5"/>
        <v>204105</v>
      </c>
      <c r="T70" s="436" t="str">
        <f t="shared" si="5"/>
        <v>204106</v>
      </c>
      <c r="U70" s="436" t="str">
        <f t="shared" si="5"/>
        <v>204107</v>
      </c>
      <c r="V70" s="436" t="str">
        <f t="shared" si="5"/>
        <v>204108</v>
      </c>
      <c r="W70" s="436" t="str">
        <f t="shared" si="5"/>
        <v>204109</v>
      </c>
      <c r="X70" s="436" t="str">
        <f t="shared" si="5"/>
        <v>204110</v>
      </c>
      <c r="Y70" s="436" t="str">
        <f t="shared" si="5"/>
        <v>204111</v>
      </c>
      <c r="Z70" s="436" t="str">
        <f t="shared" si="5"/>
        <v>204112</v>
      </c>
    </row>
    <row r="71" spans="1:26">
      <c r="A71" s="434">
        <v>2042</v>
      </c>
      <c r="B71" s="437">
        <f t="shared" si="3"/>
        <v>38114.340388812292</v>
      </c>
      <c r="C71" s="437">
        <f t="shared" si="4"/>
        <v>38368.435991404374</v>
      </c>
      <c r="D71" s="437">
        <f t="shared" si="4"/>
        <v>38624.225564680404</v>
      </c>
      <c r="E71" s="437">
        <f t="shared" si="4"/>
        <v>38881.720401778271</v>
      </c>
      <c r="F71" s="437">
        <f t="shared" si="4"/>
        <v>39140.931871123459</v>
      </c>
      <c r="G71" s="437">
        <f t="shared" si="4"/>
        <v>39401.871416930946</v>
      </c>
      <c r="H71" s="437">
        <f t="shared" si="4"/>
        <v>39664.550559710486</v>
      </c>
      <c r="I71" s="437">
        <f t="shared" si="4"/>
        <v>39928.980896775218</v>
      </c>
      <c r="J71" s="437">
        <f t="shared" si="4"/>
        <v>40195.174102753714</v>
      </c>
      <c r="K71" s="437">
        <f t="shared" si="4"/>
        <v>40463.141930105405</v>
      </c>
      <c r="L71" s="437">
        <f t="shared" si="4"/>
        <v>40732.896209639439</v>
      </c>
      <c r="M71" s="437">
        <f t="shared" si="4"/>
        <v>41004.448851037036</v>
      </c>
      <c r="N71" s="415"/>
      <c r="O71" s="436" t="str">
        <f t="shared" si="5"/>
        <v>204201</v>
      </c>
      <c r="P71" s="436" t="str">
        <f t="shared" si="5"/>
        <v>204202</v>
      </c>
      <c r="Q71" s="436" t="str">
        <f t="shared" si="5"/>
        <v>204203</v>
      </c>
      <c r="R71" s="436" t="str">
        <f t="shared" si="5"/>
        <v>204204</v>
      </c>
      <c r="S71" s="436" t="str">
        <f t="shared" si="5"/>
        <v>204205</v>
      </c>
      <c r="T71" s="436" t="str">
        <f t="shared" si="5"/>
        <v>204206</v>
      </c>
      <c r="U71" s="436" t="str">
        <f t="shared" si="5"/>
        <v>204207</v>
      </c>
      <c r="V71" s="436" t="str">
        <f t="shared" si="5"/>
        <v>204208</v>
      </c>
      <c r="W71" s="436" t="str">
        <f t="shared" si="5"/>
        <v>204209</v>
      </c>
      <c r="X71" s="436" t="str">
        <f t="shared" si="5"/>
        <v>204210</v>
      </c>
      <c r="Y71" s="436" t="str">
        <f t="shared" si="5"/>
        <v>204211</v>
      </c>
      <c r="Z71" s="436" t="str">
        <f t="shared" si="5"/>
        <v>204212</v>
      </c>
    </row>
    <row r="72" spans="1:26">
      <c r="A72" s="434">
        <v>2043</v>
      </c>
      <c r="B72" s="437">
        <f t="shared" si="3"/>
        <v>41277.811843377283</v>
      </c>
      <c r="C72" s="437">
        <f t="shared" si="4"/>
        <v>41552.997255666465</v>
      </c>
      <c r="D72" s="437">
        <f t="shared" si="4"/>
        <v>41830.017237370907</v>
      </c>
      <c r="E72" s="437">
        <f t="shared" si="4"/>
        <v>42108.884018953373</v>
      </c>
      <c r="F72" s="437">
        <f t="shared" si="4"/>
        <v>42389.609912413056</v>
      </c>
      <c r="G72" s="437">
        <f t="shared" si="4"/>
        <v>42672.207311829137</v>
      </c>
      <c r="H72" s="437">
        <f t="shared" si="4"/>
        <v>42956.688693907992</v>
      </c>
      <c r="I72" s="437">
        <f t="shared" si="4"/>
        <v>43243.066618534045</v>
      </c>
      <c r="J72" s="437">
        <f t="shared" si="4"/>
        <v>43531.35372932427</v>
      </c>
      <c r="K72" s="437">
        <f t="shared" si="4"/>
        <v>43821.562754186431</v>
      </c>
      <c r="L72" s="437">
        <f t="shared" si="4"/>
        <v>44113.706505881004</v>
      </c>
      <c r="M72" s="437">
        <f t="shared" si="4"/>
        <v>44407.797882586878</v>
      </c>
      <c r="N72" s="415"/>
      <c r="O72" s="436" t="str">
        <f t="shared" si="5"/>
        <v>204301</v>
      </c>
      <c r="P72" s="436" t="str">
        <f t="shared" si="5"/>
        <v>204302</v>
      </c>
      <c r="Q72" s="436" t="str">
        <f t="shared" si="5"/>
        <v>204303</v>
      </c>
      <c r="R72" s="436" t="str">
        <f t="shared" si="5"/>
        <v>204304</v>
      </c>
      <c r="S72" s="436" t="str">
        <f t="shared" si="5"/>
        <v>204305</v>
      </c>
      <c r="T72" s="436" t="str">
        <f t="shared" si="5"/>
        <v>204306</v>
      </c>
      <c r="U72" s="436" t="str">
        <f t="shared" si="5"/>
        <v>204307</v>
      </c>
      <c r="V72" s="436" t="str">
        <f t="shared" si="5"/>
        <v>204308</v>
      </c>
      <c r="W72" s="436" t="str">
        <f t="shared" si="5"/>
        <v>204309</v>
      </c>
      <c r="X72" s="436" t="str">
        <f t="shared" si="5"/>
        <v>204310</v>
      </c>
      <c r="Y72" s="436" t="str">
        <f t="shared" si="5"/>
        <v>204311</v>
      </c>
      <c r="Z72" s="436" t="str">
        <f t="shared" si="5"/>
        <v>204312</v>
      </c>
    </row>
    <row r="73" spans="1:26">
      <c r="A73" s="434">
        <v>2044</v>
      </c>
      <c r="B73" s="437">
        <f t="shared" si="3"/>
        <v>44703.849868470788</v>
      </c>
      <c r="C73" s="437">
        <f t="shared" si="4"/>
        <v>45001.875534260587</v>
      </c>
      <c r="D73" s="437">
        <f t="shared" si="4"/>
        <v>45301.888037822318</v>
      </c>
      <c r="E73" s="437">
        <f t="shared" si="4"/>
        <v>45603.900624741131</v>
      </c>
      <c r="F73" s="437">
        <f t="shared" si="4"/>
        <v>45907.926628906069</v>
      </c>
      <c r="G73" s="437">
        <f t="shared" si="4"/>
        <v>46213.979473098771</v>
      </c>
      <c r="H73" s="437">
        <f t="shared" si="4"/>
        <v>46522.072669586094</v>
      </c>
      <c r="I73" s="437">
        <f t="shared" si="4"/>
        <v>46832.219820716666</v>
      </c>
      <c r="J73" s="437">
        <f t="shared" si="4"/>
        <v>47144.434619521438</v>
      </c>
      <c r="K73" s="437">
        <f t="shared" si="4"/>
        <v>47458.730850318243</v>
      </c>
      <c r="L73" s="437">
        <f t="shared" si="4"/>
        <v>47775.122389320364</v>
      </c>
      <c r="M73" s="437">
        <f t="shared" si="4"/>
        <v>48093.623205249161</v>
      </c>
      <c r="N73" s="415"/>
      <c r="O73" s="436" t="str">
        <f t="shared" si="5"/>
        <v>204401</v>
      </c>
      <c r="P73" s="436" t="str">
        <f t="shared" si="5"/>
        <v>204402</v>
      </c>
      <c r="Q73" s="436" t="str">
        <f t="shared" si="5"/>
        <v>204403</v>
      </c>
      <c r="R73" s="436" t="str">
        <f t="shared" si="5"/>
        <v>204404</v>
      </c>
      <c r="S73" s="436" t="str">
        <f t="shared" si="5"/>
        <v>204405</v>
      </c>
      <c r="T73" s="436" t="str">
        <f t="shared" si="5"/>
        <v>204406</v>
      </c>
      <c r="U73" s="436" t="str">
        <f t="shared" si="5"/>
        <v>204407</v>
      </c>
      <c r="V73" s="436" t="str">
        <f t="shared" si="5"/>
        <v>204408</v>
      </c>
      <c r="W73" s="436" t="str">
        <f t="shared" si="5"/>
        <v>204409</v>
      </c>
      <c r="X73" s="436" t="str">
        <f t="shared" si="5"/>
        <v>204410</v>
      </c>
      <c r="Y73" s="436" t="str">
        <f t="shared" si="5"/>
        <v>204411</v>
      </c>
      <c r="Z73" s="436" t="str">
        <f t="shared" si="5"/>
        <v>204412</v>
      </c>
    </row>
    <row r="74" spans="1:26">
      <c r="A74" s="434">
        <v>2045</v>
      </c>
      <c r="B74" s="437">
        <f t="shared" si="3"/>
        <v>48414.247359950816</v>
      </c>
      <c r="C74" s="437">
        <f t="shared" si="4"/>
        <v>48737.009009017151</v>
      </c>
      <c r="D74" s="437">
        <f t="shared" si="4"/>
        <v>49061.922402410593</v>
      </c>
      <c r="E74" s="437">
        <f t="shared" si="4"/>
        <v>49389.001885093327</v>
      </c>
      <c r="F74" s="437">
        <f t="shared" si="4"/>
        <v>49718.26189766061</v>
      </c>
      <c r="G74" s="437">
        <f t="shared" si="4"/>
        <v>50049.716976978343</v>
      </c>
      <c r="H74" s="437">
        <f t="shared" si="4"/>
        <v>50383.381756824863</v>
      </c>
      <c r="I74" s="437">
        <f t="shared" si="4"/>
        <v>50719.270968537028</v>
      </c>
      <c r="J74" s="437">
        <f t="shared" si="4"/>
        <v>51057.399441660607</v>
      </c>
      <c r="K74" s="437">
        <f t="shared" si="4"/>
        <v>51397.782104605008</v>
      </c>
      <c r="L74" s="437">
        <f t="shared" si="4"/>
        <v>51740.43398530237</v>
      </c>
      <c r="M74" s="437">
        <f t="shared" si="4"/>
        <v>52085.37021187105</v>
      </c>
      <c r="N74" s="415"/>
      <c r="O74" s="436" t="str">
        <f t="shared" si="5"/>
        <v>204501</v>
      </c>
      <c r="P74" s="436" t="str">
        <f t="shared" si="5"/>
        <v>204502</v>
      </c>
      <c r="Q74" s="436" t="str">
        <f t="shared" si="5"/>
        <v>204503</v>
      </c>
      <c r="R74" s="436" t="str">
        <f t="shared" si="5"/>
        <v>204504</v>
      </c>
      <c r="S74" s="436" t="str">
        <f t="shared" si="5"/>
        <v>204505</v>
      </c>
      <c r="T74" s="436" t="str">
        <f t="shared" si="5"/>
        <v>204506</v>
      </c>
      <c r="U74" s="436" t="str">
        <f t="shared" si="5"/>
        <v>204507</v>
      </c>
      <c r="V74" s="436" t="str">
        <f t="shared" si="5"/>
        <v>204508</v>
      </c>
      <c r="W74" s="436" t="str">
        <f t="shared" si="5"/>
        <v>204509</v>
      </c>
      <c r="X74" s="436" t="str">
        <f t="shared" si="5"/>
        <v>204510</v>
      </c>
      <c r="Y74" s="436" t="str">
        <f t="shared" si="5"/>
        <v>204511</v>
      </c>
      <c r="Z74" s="436" t="str">
        <f t="shared" si="5"/>
        <v>204512</v>
      </c>
    </row>
    <row r="75" spans="1:26">
      <c r="A75" s="434">
        <v>2046</v>
      </c>
      <c r="B75" s="437">
        <f t="shared" si="3"/>
        <v>52432.606013283519</v>
      </c>
      <c r="C75" s="437">
        <f t="shared" si="4"/>
        <v>52782.156720038736</v>
      </c>
      <c r="D75" s="437">
        <f t="shared" si="4"/>
        <v>53134.037764838991</v>
      </c>
      <c r="E75" s="437">
        <f t="shared" si="4"/>
        <v>53488.264683271249</v>
      </c>
      <c r="F75" s="437">
        <f t="shared" si="4"/>
        <v>53844.853114493053</v>
      </c>
      <c r="G75" s="437">
        <f t="shared" si="4"/>
        <v>54203.818801923</v>
      </c>
      <c r="H75" s="437">
        <f t="shared" si="4"/>
        <v>54565.177593935819</v>
      </c>
      <c r="I75" s="437">
        <f t="shared" si="4"/>
        <v>54928.945444562058</v>
      </c>
      <c r="J75" s="437">
        <f t="shared" si="4"/>
        <v>55295.138414192465</v>
      </c>
      <c r="K75" s="437">
        <f t="shared" si="4"/>
        <v>55663.772670287079</v>
      </c>
      <c r="L75" s="437">
        <f t="shared" si="4"/>
        <v>56034.864488088991</v>
      </c>
      <c r="M75" s="437">
        <f t="shared" si="4"/>
        <v>56408.430251342914</v>
      </c>
      <c r="N75" s="415"/>
      <c r="O75" s="436" t="str">
        <f t="shared" si="5"/>
        <v>204601</v>
      </c>
      <c r="P75" s="436" t="str">
        <f t="shared" si="5"/>
        <v>204602</v>
      </c>
      <c r="Q75" s="436" t="str">
        <f t="shared" si="5"/>
        <v>204603</v>
      </c>
      <c r="R75" s="436" t="str">
        <f t="shared" si="5"/>
        <v>204604</v>
      </c>
      <c r="S75" s="436" t="str">
        <f t="shared" si="5"/>
        <v>204605</v>
      </c>
      <c r="T75" s="436" t="str">
        <f t="shared" si="5"/>
        <v>204606</v>
      </c>
      <c r="U75" s="436" t="str">
        <f t="shared" si="5"/>
        <v>204607</v>
      </c>
      <c r="V75" s="436" t="str">
        <f t="shared" si="5"/>
        <v>204608</v>
      </c>
      <c r="W75" s="436" t="str">
        <f t="shared" si="5"/>
        <v>204609</v>
      </c>
      <c r="X75" s="436" t="str">
        <f t="shared" si="5"/>
        <v>204610</v>
      </c>
      <c r="Y75" s="436" t="str">
        <f t="shared" si="5"/>
        <v>204611</v>
      </c>
      <c r="Z75" s="436" t="str">
        <f t="shared" si="5"/>
        <v>204612</v>
      </c>
    </row>
    <row r="76" spans="1:26">
      <c r="A76" s="434">
        <v>2047</v>
      </c>
      <c r="B76" s="437">
        <f t="shared" si="3"/>
        <v>56784.48645301853</v>
      </c>
      <c r="C76" s="437">
        <f t="shared" si="4"/>
        <v>57163.049696038652</v>
      </c>
      <c r="D76" s="437">
        <f t="shared" si="4"/>
        <v>57544.136694012239</v>
      </c>
      <c r="E76" s="437">
        <f t="shared" si="4"/>
        <v>57927.764271972315</v>
      </c>
      <c r="F76" s="437">
        <f t="shared" si="4"/>
        <v>58313.949367118796</v>
      </c>
      <c r="G76" s="437">
        <f t="shared" si="4"/>
        <v>58702.709029566249</v>
      </c>
      <c r="H76" s="437">
        <f t="shared" si="4"/>
        <v>59094.060423096686</v>
      </c>
      <c r="I76" s="437">
        <f t="shared" si="4"/>
        <v>59488.020825917323</v>
      </c>
      <c r="J76" s="437">
        <f t="shared" si="4"/>
        <v>59884.607631423438</v>
      </c>
      <c r="K76" s="437">
        <f t="shared" si="4"/>
        <v>60283.838348966259</v>
      </c>
      <c r="L76" s="437">
        <f t="shared" si="4"/>
        <v>60685.730604626027</v>
      </c>
      <c r="M76" s="437">
        <f t="shared" si="4"/>
        <v>61090.3021419902</v>
      </c>
      <c r="N76" s="415"/>
      <c r="O76" s="436" t="str">
        <f t="shared" si="5"/>
        <v>204701</v>
      </c>
      <c r="P76" s="436" t="str">
        <f t="shared" si="5"/>
        <v>204702</v>
      </c>
      <c r="Q76" s="436" t="str">
        <f t="shared" si="5"/>
        <v>204703</v>
      </c>
      <c r="R76" s="436" t="str">
        <f t="shared" ref="R76:Z99" si="6">$A76&amp;TEXT(E$18,"00")</f>
        <v>204704</v>
      </c>
      <c r="S76" s="436" t="str">
        <f t="shared" si="6"/>
        <v>204705</v>
      </c>
      <c r="T76" s="436" t="str">
        <f t="shared" si="6"/>
        <v>204706</v>
      </c>
      <c r="U76" s="436" t="str">
        <f t="shared" si="6"/>
        <v>204707</v>
      </c>
      <c r="V76" s="436" t="str">
        <f t="shared" si="6"/>
        <v>204708</v>
      </c>
      <c r="W76" s="436" t="str">
        <f t="shared" si="6"/>
        <v>204709</v>
      </c>
      <c r="X76" s="436" t="str">
        <f t="shared" si="6"/>
        <v>204710</v>
      </c>
      <c r="Y76" s="436" t="str">
        <f t="shared" si="6"/>
        <v>204711</v>
      </c>
      <c r="Z76" s="436" t="str">
        <f t="shared" si="6"/>
        <v>204712</v>
      </c>
    </row>
    <row r="77" spans="1:26">
      <c r="A77" s="434">
        <v>2040</v>
      </c>
      <c r="B77" s="437">
        <f t="shared" si="3"/>
        <v>61497.570822936796</v>
      </c>
      <c r="C77" s="437">
        <f t="shared" si="4"/>
        <v>61907.554628423037</v>
      </c>
      <c r="D77" s="437">
        <f t="shared" si="4"/>
        <v>62320.271659279184</v>
      </c>
      <c r="E77" s="437">
        <f t="shared" si="4"/>
        <v>62735.740137007706</v>
      </c>
      <c r="F77" s="437">
        <f t="shared" si="4"/>
        <v>63153.978404587753</v>
      </c>
      <c r="G77" s="437">
        <f t="shared" si="4"/>
        <v>63575.004927285001</v>
      </c>
      <c r="H77" s="437">
        <f t="shared" si="4"/>
        <v>63998.838293466899</v>
      </c>
      <c r="I77" s="437">
        <f t="shared" si="4"/>
        <v>64425.49721542334</v>
      </c>
      <c r="J77" s="437">
        <f t="shared" si="4"/>
        <v>64855.000530192825</v>
      </c>
      <c r="K77" s="437">
        <f t="shared" si="4"/>
        <v>65287.367200394103</v>
      </c>
      <c r="L77" s="437">
        <f t="shared" si="4"/>
        <v>65722.616315063395</v>
      </c>
      <c r="M77" s="437">
        <f t="shared" si="4"/>
        <v>66160.767090497146</v>
      </c>
      <c r="N77" s="415"/>
      <c r="O77" s="436" t="str">
        <f t="shared" ref="O77:Q99" si="7">$A77&amp;TEXT(B$18,"00")</f>
        <v>204001</v>
      </c>
      <c r="P77" s="436" t="str">
        <f t="shared" si="7"/>
        <v>204002</v>
      </c>
      <c r="Q77" s="436" t="str">
        <f t="shared" si="7"/>
        <v>204003</v>
      </c>
      <c r="R77" s="436" t="str">
        <f t="shared" si="6"/>
        <v>204004</v>
      </c>
      <c r="S77" s="436" t="str">
        <f t="shared" si="6"/>
        <v>204005</v>
      </c>
      <c r="T77" s="436" t="str">
        <f t="shared" si="6"/>
        <v>204006</v>
      </c>
      <c r="U77" s="436" t="str">
        <f t="shared" si="6"/>
        <v>204007</v>
      </c>
      <c r="V77" s="436" t="str">
        <f t="shared" si="6"/>
        <v>204008</v>
      </c>
      <c r="W77" s="436" t="str">
        <f t="shared" si="6"/>
        <v>204009</v>
      </c>
      <c r="X77" s="436" t="str">
        <f t="shared" si="6"/>
        <v>204010</v>
      </c>
      <c r="Y77" s="436" t="str">
        <f t="shared" si="6"/>
        <v>204011</v>
      </c>
      <c r="Z77" s="436" t="str">
        <f t="shared" si="6"/>
        <v>204012</v>
      </c>
    </row>
    <row r="78" spans="1:26">
      <c r="A78" s="434">
        <v>2049</v>
      </c>
      <c r="B78" s="437">
        <f t="shared" si="3"/>
        <v>66601.838871100452</v>
      </c>
      <c r="C78" s="437">
        <f t="shared" si="4"/>
        <v>67045.851130241121</v>
      </c>
      <c r="D78" s="437">
        <f t="shared" si="4"/>
        <v>67492.823471109397</v>
      </c>
      <c r="E78" s="437">
        <f t="shared" si="4"/>
        <v>67942.775627583454</v>
      </c>
      <c r="F78" s="437">
        <f t="shared" si="4"/>
        <v>68395.727465100674</v>
      </c>
      <c r="G78" s="437">
        <f t="shared" si="4"/>
        <v>68851.698981534675</v>
      </c>
      <c r="H78" s="437">
        <f t="shared" si="4"/>
        <v>69310.71030807824</v>
      </c>
      <c r="I78" s="437">
        <f t="shared" si="4"/>
        <v>69772.781710132083</v>
      </c>
      <c r="J78" s="437">
        <f t="shared" si="4"/>
        <v>70237.933588199623</v>
      </c>
      <c r="K78" s="437">
        <f t="shared" si="4"/>
        <v>70706.186478787611</v>
      </c>
      <c r="L78" s="437">
        <f t="shared" si="4"/>
        <v>71177.56105531285</v>
      </c>
      <c r="M78" s="437">
        <f t="shared" si="4"/>
        <v>71652.078129014932</v>
      </c>
      <c r="N78" s="415"/>
      <c r="O78" s="436" t="str">
        <f t="shared" si="7"/>
        <v>204901</v>
      </c>
      <c r="P78" s="436" t="str">
        <f t="shared" si="7"/>
        <v>204902</v>
      </c>
      <c r="Q78" s="436" t="str">
        <f t="shared" si="7"/>
        <v>204903</v>
      </c>
      <c r="R78" s="436" t="str">
        <f t="shared" si="6"/>
        <v>204904</v>
      </c>
      <c r="S78" s="436" t="str">
        <f t="shared" si="6"/>
        <v>204905</v>
      </c>
      <c r="T78" s="436" t="str">
        <f t="shared" si="6"/>
        <v>204906</v>
      </c>
      <c r="U78" s="436" t="str">
        <f t="shared" si="6"/>
        <v>204907</v>
      </c>
      <c r="V78" s="436" t="str">
        <f t="shared" si="6"/>
        <v>204908</v>
      </c>
      <c r="W78" s="436" t="str">
        <f t="shared" si="6"/>
        <v>204909</v>
      </c>
      <c r="X78" s="436" t="str">
        <f t="shared" si="6"/>
        <v>204910</v>
      </c>
      <c r="Y78" s="436" t="str">
        <f t="shared" si="6"/>
        <v>204911</v>
      </c>
      <c r="Z78" s="436" t="str">
        <f t="shared" si="6"/>
        <v>204912</v>
      </c>
    </row>
    <row r="79" spans="1:26">
      <c r="A79" s="434">
        <v>2050</v>
      </c>
      <c r="B79" s="437">
        <f t="shared" si="3"/>
        <v>72129.758649875032</v>
      </c>
      <c r="C79" s="437">
        <f t="shared" si="4"/>
        <v>72610.623707540857</v>
      </c>
      <c r="D79" s="437">
        <f t="shared" si="4"/>
        <v>73094.694532257796</v>
      </c>
      <c r="E79" s="437">
        <f t="shared" si="4"/>
        <v>73581.992495806175</v>
      </c>
      <c r="F79" s="437">
        <f t="shared" si="4"/>
        <v>74072.53911244488</v>
      </c>
      <c r="G79" s="437">
        <f t="shared" si="4"/>
        <v>74566.356039861173</v>
      </c>
      <c r="H79" s="437">
        <f t="shared" si="4"/>
        <v>75063.465080126916</v>
      </c>
      <c r="I79" s="437">
        <f t="shared" si="4"/>
        <v>75563.888180661088</v>
      </c>
      <c r="J79" s="437">
        <f t="shared" si="4"/>
        <v>76067.647435198829</v>
      </c>
      <c r="K79" s="437">
        <f t="shared" si="4"/>
        <v>76574.765084766812</v>
      </c>
      <c r="L79" s="437">
        <f t="shared" si="4"/>
        <v>77085.263518665248</v>
      </c>
      <c r="M79" s="437">
        <f t="shared" si="4"/>
        <v>77599.16527545634</v>
      </c>
      <c r="N79" s="415"/>
      <c r="O79" s="436" t="str">
        <f t="shared" si="7"/>
        <v>205001</v>
      </c>
      <c r="P79" s="436" t="str">
        <f t="shared" si="7"/>
        <v>205002</v>
      </c>
      <c r="Q79" s="436" t="str">
        <f t="shared" si="7"/>
        <v>205003</v>
      </c>
      <c r="R79" s="436" t="str">
        <f t="shared" si="6"/>
        <v>205004</v>
      </c>
      <c r="S79" s="436" t="str">
        <f t="shared" si="6"/>
        <v>205005</v>
      </c>
      <c r="T79" s="436" t="str">
        <f t="shared" si="6"/>
        <v>205006</v>
      </c>
      <c r="U79" s="436" t="str">
        <f t="shared" si="6"/>
        <v>205007</v>
      </c>
      <c r="V79" s="436" t="str">
        <f t="shared" si="6"/>
        <v>205008</v>
      </c>
      <c r="W79" s="436" t="str">
        <f t="shared" si="6"/>
        <v>205009</v>
      </c>
      <c r="X79" s="436" t="str">
        <f t="shared" si="6"/>
        <v>205010</v>
      </c>
      <c r="Y79" s="436" t="str">
        <f t="shared" si="6"/>
        <v>205011</v>
      </c>
      <c r="Z79" s="436" t="str">
        <f t="shared" si="6"/>
        <v>205012</v>
      </c>
    </row>
    <row r="80" spans="1:26">
      <c r="A80" s="434">
        <v>2051</v>
      </c>
      <c r="B80" s="437">
        <f t="shared" si="3"/>
        <v>78116.493043959374</v>
      </c>
      <c r="C80" s="437">
        <f t="shared" si="4"/>
        <v>78637.269664252424</v>
      </c>
      <c r="D80" s="437">
        <f t="shared" si="4"/>
        <v>79161.518128680764</v>
      </c>
      <c r="E80" s="437">
        <f t="shared" si="4"/>
        <v>79689.261582871957</v>
      </c>
      <c r="F80" s="437">
        <f t="shared" si="4"/>
        <v>80220.523326757771</v>
      </c>
      <c r="G80" s="437">
        <f t="shared" si="4"/>
        <v>80755.326815602821</v>
      </c>
      <c r="H80" s="437">
        <f t="shared" si="4"/>
        <v>81293.695661040168</v>
      </c>
      <c r="I80" s="437">
        <f t="shared" si="4"/>
        <v>81835.653632113768</v>
      </c>
      <c r="J80" s="437">
        <f t="shared" si="4"/>
        <v>82381.22465632786</v>
      </c>
      <c r="K80" s="437">
        <f t="shared" si="4"/>
        <v>82930.432820703369</v>
      </c>
      <c r="L80" s="437">
        <f t="shared" si="4"/>
        <v>83483.302372841383</v>
      </c>
      <c r="M80" s="437">
        <f t="shared" si="4"/>
        <v>84039.857721993656</v>
      </c>
      <c r="N80" s="415"/>
      <c r="O80" s="436" t="str">
        <f t="shared" si="7"/>
        <v>205101</v>
      </c>
      <c r="P80" s="436" t="str">
        <f t="shared" si="7"/>
        <v>205102</v>
      </c>
      <c r="Q80" s="436" t="str">
        <f t="shared" si="7"/>
        <v>205103</v>
      </c>
      <c r="R80" s="436" t="str">
        <f t="shared" si="6"/>
        <v>205104</v>
      </c>
      <c r="S80" s="436" t="str">
        <f t="shared" si="6"/>
        <v>205105</v>
      </c>
      <c r="T80" s="436" t="str">
        <f t="shared" si="6"/>
        <v>205106</v>
      </c>
      <c r="U80" s="436" t="str">
        <f t="shared" si="6"/>
        <v>205107</v>
      </c>
      <c r="V80" s="436" t="str">
        <f t="shared" si="6"/>
        <v>205108</v>
      </c>
      <c r="W80" s="436" t="str">
        <f t="shared" si="6"/>
        <v>205109</v>
      </c>
      <c r="X80" s="436" t="str">
        <f t="shared" si="6"/>
        <v>205110</v>
      </c>
      <c r="Y80" s="436" t="str">
        <f t="shared" si="6"/>
        <v>205111</v>
      </c>
      <c r="Z80" s="436" t="str">
        <f t="shared" si="6"/>
        <v>205112</v>
      </c>
    </row>
    <row r="81" spans="1:26">
      <c r="A81" s="434">
        <v>2052</v>
      </c>
      <c r="B81" s="437">
        <f t="shared" si="3"/>
        <v>84600.123440140276</v>
      </c>
      <c r="C81" s="437">
        <f t="shared" si="4"/>
        <v>85164.12426307454</v>
      </c>
      <c r="D81" s="437">
        <f t="shared" si="4"/>
        <v>85731.885091495031</v>
      </c>
      <c r="E81" s="437">
        <f t="shared" si="4"/>
        <v>86303.430992104986</v>
      </c>
      <c r="F81" s="437">
        <f t="shared" si="4"/>
        <v>86878.787198719016</v>
      </c>
      <c r="G81" s="437">
        <f t="shared" si="4"/>
        <v>87457.979113377136</v>
      </c>
      <c r="H81" s="437">
        <f t="shared" si="4"/>
        <v>88041.032307466317</v>
      </c>
      <c r="I81" s="437">
        <f t="shared" si="4"/>
        <v>88627.972522849421</v>
      </c>
      <c r="J81" s="437">
        <f t="shared" si="4"/>
        <v>89218.825673001746</v>
      </c>
      <c r="K81" s="437">
        <f t="shared" si="4"/>
        <v>89813.617844155087</v>
      </c>
      <c r="L81" s="437">
        <f t="shared" si="4"/>
        <v>90412.375296449449</v>
      </c>
      <c r="M81" s="437">
        <f t="shared" si="4"/>
        <v>91015.124465092435</v>
      </c>
      <c r="N81" s="415"/>
      <c r="O81" s="436" t="str">
        <f t="shared" si="7"/>
        <v>205201</v>
      </c>
      <c r="P81" s="436" t="str">
        <f t="shared" si="7"/>
        <v>205202</v>
      </c>
      <c r="Q81" s="436" t="str">
        <f t="shared" si="7"/>
        <v>205203</v>
      </c>
      <c r="R81" s="436" t="str">
        <f t="shared" si="6"/>
        <v>205204</v>
      </c>
      <c r="S81" s="436" t="str">
        <f t="shared" si="6"/>
        <v>205205</v>
      </c>
      <c r="T81" s="436" t="str">
        <f t="shared" si="6"/>
        <v>205206</v>
      </c>
      <c r="U81" s="436" t="str">
        <f t="shared" si="6"/>
        <v>205207</v>
      </c>
      <c r="V81" s="436" t="str">
        <f t="shared" si="6"/>
        <v>205208</v>
      </c>
      <c r="W81" s="436" t="str">
        <f t="shared" si="6"/>
        <v>205209</v>
      </c>
      <c r="X81" s="436" t="str">
        <f t="shared" si="6"/>
        <v>205210</v>
      </c>
      <c r="Y81" s="436" t="str">
        <f t="shared" si="6"/>
        <v>205211</v>
      </c>
      <c r="Z81" s="436" t="str">
        <f t="shared" si="6"/>
        <v>205212</v>
      </c>
    </row>
    <row r="82" spans="1:26">
      <c r="A82" s="434">
        <v>2053</v>
      </c>
      <c r="B82" s="437">
        <f t="shared" si="3"/>
        <v>91621.891961526373</v>
      </c>
      <c r="C82" s="437">
        <f t="shared" si="4"/>
        <v>92232.704574603209</v>
      </c>
      <c r="D82" s="437">
        <f t="shared" si="4"/>
        <v>92847.589271767225</v>
      </c>
      <c r="E82" s="437">
        <f t="shared" si="4"/>
        <v>93466.573200245664</v>
      </c>
      <c r="F82" s="437">
        <f t="shared" si="4"/>
        <v>94089.6836882473</v>
      </c>
      <c r="G82" s="437">
        <f t="shared" si="4"/>
        <v>94716.948246168948</v>
      </c>
      <c r="H82" s="437">
        <f t="shared" si="4"/>
        <v>95348.394567810072</v>
      </c>
      <c r="I82" s="437">
        <f t="shared" si="4"/>
        <v>95984.050531595465</v>
      </c>
      <c r="J82" s="437">
        <f t="shared" si="4"/>
        <v>96623.944201806094</v>
      </c>
      <c r="K82" s="437">
        <f t="shared" si="4"/>
        <v>97268.103829818123</v>
      </c>
      <c r="L82" s="437">
        <f t="shared" si="4"/>
        <v>97916.557855350242</v>
      </c>
      <c r="M82" s="437">
        <f t="shared" si="4"/>
        <v>98569.33490771924</v>
      </c>
      <c r="N82" s="415"/>
      <c r="O82" s="436" t="str">
        <f t="shared" si="7"/>
        <v>205301</v>
      </c>
      <c r="P82" s="436" t="str">
        <f t="shared" si="7"/>
        <v>205302</v>
      </c>
      <c r="Q82" s="436" t="str">
        <f t="shared" si="7"/>
        <v>205303</v>
      </c>
      <c r="R82" s="436" t="str">
        <f t="shared" si="6"/>
        <v>205304</v>
      </c>
      <c r="S82" s="436" t="str">
        <f t="shared" si="6"/>
        <v>205305</v>
      </c>
      <c r="T82" s="436" t="str">
        <f t="shared" si="6"/>
        <v>205306</v>
      </c>
      <c r="U82" s="436" t="str">
        <f t="shared" si="6"/>
        <v>205307</v>
      </c>
      <c r="V82" s="436" t="str">
        <f t="shared" si="6"/>
        <v>205308</v>
      </c>
      <c r="W82" s="436" t="str">
        <f t="shared" si="6"/>
        <v>205309</v>
      </c>
      <c r="X82" s="436" t="str">
        <f t="shared" si="6"/>
        <v>205310</v>
      </c>
      <c r="Y82" s="436" t="str">
        <f t="shared" si="6"/>
        <v>205311</v>
      </c>
      <c r="Z82" s="436" t="str">
        <f t="shared" si="6"/>
        <v>205312</v>
      </c>
    </row>
    <row r="83" spans="1:26">
      <c r="A83" s="434">
        <v>2054</v>
      </c>
      <c r="B83" s="437">
        <f t="shared" si="3"/>
        <v>99226.463807104024</v>
      </c>
      <c r="C83" s="437">
        <f t="shared" si="4"/>
        <v>99887.973565818043</v>
      </c>
      <c r="D83" s="437">
        <f t="shared" si="4"/>
        <v>100553.89338959016</v>
      </c>
      <c r="E83" s="437">
        <f t="shared" si="4"/>
        <v>101224.25267885409</v>
      </c>
      <c r="F83" s="437">
        <f t="shared" si="4"/>
        <v>101899.08103004644</v>
      </c>
      <c r="G83" s="437">
        <f t="shared" si="4"/>
        <v>102578.40823691341</v>
      </c>
      <c r="H83" s="437">
        <f t="shared" si="4"/>
        <v>103262.26429182616</v>
      </c>
      <c r="I83" s="437">
        <f t="shared" si="4"/>
        <v>103950.67938710499</v>
      </c>
      <c r="J83" s="437">
        <f t="shared" si="4"/>
        <v>104643.68391635235</v>
      </c>
      <c r="K83" s="437">
        <f t="shared" si="4"/>
        <v>105341.30847579469</v>
      </c>
      <c r="L83" s="437">
        <f t="shared" si="4"/>
        <v>106043.58386563332</v>
      </c>
      <c r="M83" s="437">
        <f t="shared" si="4"/>
        <v>106750.5410914042</v>
      </c>
      <c r="N83" s="415"/>
      <c r="O83" s="436" t="str">
        <f t="shared" si="7"/>
        <v>205401</v>
      </c>
      <c r="P83" s="436" t="str">
        <f t="shared" si="7"/>
        <v>205402</v>
      </c>
      <c r="Q83" s="436" t="str">
        <f t="shared" si="7"/>
        <v>205403</v>
      </c>
      <c r="R83" s="436" t="str">
        <f t="shared" si="6"/>
        <v>205404</v>
      </c>
      <c r="S83" s="436" t="str">
        <f t="shared" si="6"/>
        <v>205405</v>
      </c>
      <c r="T83" s="436" t="str">
        <f t="shared" si="6"/>
        <v>205406</v>
      </c>
      <c r="U83" s="436" t="str">
        <f t="shared" si="6"/>
        <v>205407</v>
      </c>
      <c r="V83" s="436" t="str">
        <f t="shared" si="6"/>
        <v>205408</v>
      </c>
      <c r="W83" s="436" t="str">
        <f t="shared" si="6"/>
        <v>205409</v>
      </c>
      <c r="X83" s="436" t="str">
        <f t="shared" si="6"/>
        <v>205410</v>
      </c>
      <c r="Y83" s="436" t="str">
        <f t="shared" si="6"/>
        <v>205411</v>
      </c>
      <c r="Z83" s="436" t="str">
        <f t="shared" si="6"/>
        <v>205412</v>
      </c>
    </row>
    <row r="84" spans="1:26">
      <c r="A84" s="434">
        <v>2055</v>
      </c>
      <c r="B84" s="437">
        <f t="shared" si="3"/>
        <v>107462.21136534688</v>
      </c>
      <c r="C84" s="437">
        <f t="shared" si="4"/>
        <v>108178.62610778252</v>
      </c>
      <c r="D84" s="437">
        <f t="shared" si="4"/>
        <v>108899.81694850106</v>
      </c>
      <c r="E84" s="437">
        <f t="shared" si="4"/>
        <v>109625.81572815773</v>
      </c>
      <c r="F84" s="437">
        <f t="shared" si="4"/>
        <v>110356.65449967877</v>
      </c>
      <c r="G84" s="437">
        <f t="shared" si="4"/>
        <v>111092.36552967662</v>
      </c>
      <c r="H84" s="437">
        <f t="shared" si="4"/>
        <v>111832.98129987446</v>
      </c>
      <c r="I84" s="437">
        <f t="shared" si="4"/>
        <v>112578.53450854028</v>
      </c>
      <c r="J84" s="437">
        <f t="shared" si="4"/>
        <v>113329.05807193054</v>
      </c>
      <c r="K84" s="437">
        <f t="shared" si="4"/>
        <v>114084.58512574341</v>
      </c>
      <c r="L84" s="437">
        <f t="shared" si="4"/>
        <v>114845.1490265817</v>
      </c>
      <c r="M84" s="437">
        <f t="shared" si="4"/>
        <v>115610.78335342556</v>
      </c>
      <c r="N84" s="415"/>
      <c r="O84" s="436" t="str">
        <f t="shared" si="7"/>
        <v>205501</v>
      </c>
      <c r="P84" s="436" t="str">
        <f t="shared" si="7"/>
        <v>205502</v>
      </c>
      <c r="Q84" s="436" t="str">
        <f t="shared" si="7"/>
        <v>205503</v>
      </c>
      <c r="R84" s="436" t="str">
        <f t="shared" si="6"/>
        <v>205504</v>
      </c>
      <c r="S84" s="436" t="str">
        <f t="shared" si="6"/>
        <v>205505</v>
      </c>
      <c r="T84" s="436" t="str">
        <f t="shared" si="6"/>
        <v>205506</v>
      </c>
      <c r="U84" s="436" t="str">
        <f t="shared" si="6"/>
        <v>205507</v>
      </c>
      <c r="V84" s="436" t="str">
        <f t="shared" si="6"/>
        <v>205508</v>
      </c>
      <c r="W84" s="436" t="str">
        <f t="shared" si="6"/>
        <v>205509</v>
      </c>
      <c r="X84" s="436" t="str">
        <f t="shared" si="6"/>
        <v>205510</v>
      </c>
      <c r="Y84" s="436" t="str">
        <f t="shared" si="6"/>
        <v>205511</v>
      </c>
      <c r="Z84" s="436" t="str">
        <f t="shared" si="6"/>
        <v>205512</v>
      </c>
    </row>
    <row r="85" spans="1:26">
      <c r="A85" s="434">
        <v>2056</v>
      </c>
      <c r="B85" s="437">
        <f t="shared" si="3"/>
        <v>116381.52190911506</v>
      </c>
      <c r="C85" s="437">
        <f t="shared" si="4"/>
        <v>117157.39872184249</v>
      </c>
      <c r="D85" s="437">
        <f t="shared" si="4"/>
        <v>117938.44804665477</v>
      </c>
      <c r="E85" s="437">
        <f t="shared" si="4"/>
        <v>118724.70436696579</v>
      </c>
      <c r="F85" s="437">
        <f t="shared" si="4"/>
        <v>119516.20239607888</v>
      </c>
      <c r="G85" s="437">
        <f t="shared" si="4"/>
        <v>120312.9770787194</v>
      </c>
      <c r="H85" s="437">
        <f t="shared" si="4"/>
        <v>121115.06359257751</v>
      </c>
      <c r="I85" s="437">
        <f t="shared" si="4"/>
        <v>121922.49734986135</v>
      </c>
      <c r="J85" s="437">
        <f t="shared" si="4"/>
        <v>122735.31399886042</v>
      </c>
      <c r="K85" s="437">
        <f t="shared" si="4"/>
        <v>123553.54942551948</v>
      </c>
      <c r="L85" s="437">
        <f t="shared" si="4"/>
        <v>124377.23975502294</v>
      </c>
      <c r="M85" s="437">
        <f t="shared" si="4"/>
        <v>125206.42135338974</v>
      </c>
      <c r="N85" s="415"/>
      <c r="O85" s="436" t="str">
        <f t="shared" si="7"/>
        <v>205601</v>
      </c>
      <c r="P85" s="436" t="str">
        <f t="shared" si="7"/>
        <v>205602</v>
      </c>
      <c r="Q85" s="436" t="str">
        <f t="shared" si="7"/>
        <v>205603</v>
      </c>
      <c r="R85" s="436" t="str">
        <f t="shared" si="6"/>
        <v>205604</v>
      </c>
      <c r="S85" s="436" t="str">
        <f t="shared" si="6"/>
        <v>205605</v>
      </c>
      <c r="T85" s="436" t="str">
        <f t="shared" si="6"/>
        <v>205606</v>
      </c>
      <c r="U85" s="436" t="str">
        <f t="shared" si="6"/>
        <v>205607</v>
      </c>
      <c r="V85" s="436" t="str">
        <f t="shared" si="6"/>
        <v>205608</v>
      </c>
      <c r="W85" s="436" t="str">
        <f t="shared" si="6"/>
        <v>205609</v>
      </c>
      <c r="X85" s="436" t="str">
        <f t="shared" si="6"/>
        <v>205610</v>
      </c>
      <c r="Y85" s="436" t="str">
        <f t="shared" si="6"/>
        <v>205611</v>
      </c>
      <c r="Z85" s="436" t="str">
        <f t="shared" si="6"/>
        <v>205612</v>
      </c>
    </row>
    <row r="86" spans="1:26">
      <c r="A86" s="434">
        <v>2057</v>
      </c>
      <c r="B86" s="437">
        <f t="shared" si="3"/>
        <v>126041.130829079</v>
      </c>
      <c r="C86" s="437">
        <f t="shared" si="4"/>
        <v>126881.40503460618</v>
      </c>
      <c r="D86" s="437">
        <f t="shared" si="4"/>
        <v>127727.28106817021</v>
      </c>
      <c r="E86" s="437">
        <f t="shared" si="4"/>
        <v>128578.79627529133</v>
      </c>
      <c r="F86" s="437">
        <f t="shared" si="4"/>
        <v>129435.98825045994</v>
      </c>
      <c r="G86" s="437">
        <f t="shared" si="4"/>
        <v>130298.89483879633</v>
      </c>
      <c r="H86" s="437">
        <f t="shared" si="4"/>
        <v>131167.55413772163</v>
      </c>
      <c r="I86" s="437">
        <f t="shared" si="4"/>
        <v>132042.00449863976</v>
      </c>
      <c r="J86" s="437">
        <f t="shared" si="4"/>
        <v>132922.28452863067</v>
      </c>
      <c r="K86" s="437">
        <f t="shared" si="4"/>
        <v>133808.43309215485</v>
      </c>
      <c r="L86" s="437">
        <f t="shared" si="4"/>
        <v>134700.4893127692</v>
      </c>
      <c r="M86" s="437">
        <f t="shared" si="4"/>
        <v>135598.49257485432</v>
      </c>
      <c r="N86" s="415"/>
      <c r="O86" s="436" t="str">
        <f t="shared" si="7"/>
        <v>205701</v>
      </c>
      <c r="P86" s="436" t="str">
        <f t="shared" si="7"/>
        <v>205702</v>
      </c>
      <c r="Q86" s="436" t="str">
        <f t="shared" si="7"/>
        <v>205703</v>
      </c>
      <c r="R86" s="436" t="str">
        <f t="shared" si="6"/>
        <v>205704</v>
      </c>
      <c r="S86" s="436" t="str">
        <f t="shared" si="6"/>
        <v>205705</v>
      </c>
      <c r="T86" s="436" t="str">
        <f t="shared" si="6"/>
        <v>205706</v>
      </c>
      <c r="U86" s="436" t="str">
        <f t="shared" si="6"/>
        <v>205707</v>
      </c>
      <c r="V86" s="436" t="str">
        <f t="shared" si="6"/>
        <v>205708</v>
      </c>
      <c r="W86" s="436" t="str">
        <f t="shared" si="6"/>
        <v>205709</v>
      </c>
      <c r="X86" s="436" t="str">
        <f t="shared" si="6"/>
        <v>205710</v>
      </c>
      <c r="Y86" s="436" t="str">
        <f t="shared" si="6"/>
        <v>205711</v>
      </c>
      <c r="Z86" s="436" t="str">
        <f t="shared" si="6"/>
        <v>205712</v>
      </c>
    </row>
    <row r="87" spans="1:26">
      <c r="A87" s="434">
        <v>2058</v>
      </c>
      <c r="B87" s="437">
        <f t="shared" si="3"/>
        <v>136502.48252535335</v>
      </c>
      <c r="C87" s="437">
        <f t="shared" si="4"/>
        <v>137412.49907552236</v>
      </c>
      <c r="D87" s="437">
        <f t="shared" si="4"/>
        <v>138328.5824026925</v>
      </c>
      <c r="E87" s="437">
        <f t="shared" si="4"/>
        <v>139250.77295204377</v>
      </c>
      <c r="F87" s="437">
        <f t="shared" si="4"/>
        <v>140179.11143839071</v>
      </c>
      <c r="G87" s="437">
        <f t="shared" si="4"/>
        <v>141113.63884797998</v>
      </c>
      <c r="H87" s="437">
        <f t="shared" si="4"/>
        <v>142054.39644029984</v>
      </c>
      <c r="I87" s="437">
        <f t="shared" si="4"/>
        <v>143001.42574990183</v>
      </c>
      <c r="J87" s="437">
        <f t="shared" si="4"/>
        <v>143954.7685882345</v>
      </c>
      <c r="K87" s="437">
        <f t="shared" si="4"/>
        <v>144914.46704548938</v>
      </c>
      <c r="L87" s="437">
        <f t="shared" si="4"/>
        <v>145880.5634924593</v>
      </c>
      <c r="M87" s="437">
        <f t="shared" si="4"/>
        <v>146853.10058240901</v>
      </c>
      <c r="N87" s="415"/>
      <c r="O87" s="436" t="str">
        <f t="shared" si="7"/>
        <v>205801</v>
      </c>
      <c r="P87" s="436" t="str">
        <f t="shared" si="7"/>
        <v>205802</v>
      </c>
      <c r="Q87" s="436" t="str">
        <f t="shared" si="7"/>
        <v>205803</v>
      </c>
      <c r="R87" s="436" t="str">
        <f t="shared" si="6"/>
        <v>205804</v>
      </c>
      <c r="S87" s="436" t="str">
        <f t="shared" si="6"/>
        <v>205805</v>
      </c>
      <c r="T87" s="436" t="str">
        <f t="shared" si="6"/>
        <v>205806</v>
      </c>
      <c r="U87" s="436" t="str">
        <f t="shared" si="6"/>
        <v>205807</v>
      </c>
      <c r="V87" s="436" t="str">
        <f t="shared" si="6"/>
        <v>205808</v>
      </c>
      <c r="W87" s="436" t="str">
        <f t="shared" si="6"/>
        <v>205809</v>
      </c>
      <c r="X87" s="436" t="str">
        <f t="shared" si="6"/>
        <v>205810</v>
      </c>
      <c r="Y87" s="436" t="str">
        <f t="shared" si="6"/>
        <v>205811</v>
      </c>
      <c r="Z87" s="436" t="str">
        <f t="shared" si="6"/>
        <v>205812</v>
      </c>
    </row>
    <row r="88" spans="1:26">
      <c r="A88" s="434">
        <v>2059</v>
      </c>
      <c r="B88" s="437">
        <f t="shared" si="3"/>
        <v>147832.1212529584</v>
      </c>
      <c r="C88" s="437">
        <f t="shared" si="4"/>
        <v>148817.6687279781</v>
      </c>
      <c r="D88" s="437">
        <f t="shared" si="4"/>
        <v>149809.78651949795</v>
      </c>
      <c r="E88" s="437">
        <f t="shared" si="4"/>
        <v>150808.51842962793</v>
      </c>
      <c r="F88" s="437">
        <f t="shared" si="4"/>
        <v>151813.9085524921</v>
      </c>
      <c r="G88" s="437">
        <f t="shared" si="4"/>
        <v>152826.00127617538</v>
      </c>
      <c r="H88" s="437">
        <f t="shared" si="4"/>
        <v>153844.84128468321</v>
      </c>
      <c r="I88" s="437">
        <f t="shared" si="4"/>
        <v>154870.47355991442</v>
      </c>
      <c r="J88" s="437">
        <f t="shared" si="4"/>
        <v>155902.94338364716</v>
      </c>
      <c r="K88" s="437">
        <f t="shared" si="4"/>
        <v>156942.29633953812</v>
      </c>
      <c r="L88" s="437">
        <f t="shared" si="4"/>
        <v>157988.57831513503</v>
      </c>
      <c r="M88" s="437">
        <f t="shared" si="4"/>
        <v>159041.83550390258</v>
      </c>
      <c r="N88" s="415"/>
      <c r="O88" s="436" t="str">
        <f t="shared" si="7"/>
        <v>205901</v>
      </c>
      <c r="P88" s="436" t="str">
        <f t="shared" si="7"/>
        <v>205902</v>
      </c>
      <c r="Q88" s="436" t="str">
        <f t="shared" si="7"/>
        <v>205903</v>
      </c>
      <c r="R88" s="436" t="str">
        <f t="shared" si="6"/>
        <v>205904</v>
      </c>
      <c r="S88" s="436" t="str">
        <f t="shared" si="6"/>
        <v>205905</v>
      </c>
      <c r="T88" s="436" t="str">
        <f t="shared" si="6"/>
        <v>205906</v>
      </c>
      <c r="U88" s="436" t="str">
        <f t="shared" si="6"/>
        <v>205907</v>
      </c>
      <c r="V88" s="436" t="str">
        <f t="shared" si="6"/>
        <v>205908</v>
      </c>
      <c r="W88" s="436" t="str">
        <f t="shared" si="6"/>
        <v>205909</v>
      </c>
      <c r="X88" s="436" t="str">
        <f t="shared" si="6"/>
        <v>205910</v>
      </c>
      <c r="Y88" s="436" t="str">
        <f t="shared" si="6"/>
        <v>205911</v>
      </c>
      <c r="Z88" s="436" t="str">
        <f t="shared" si="6"/>
        <v>205912</v>
      </c>
    </row>
    <row r="89" spans="1:26">
      <c r="A89" s="434">
        <v>2060</v>
      </c>
      <c r="B89" s="437">
        <f t="shared" si="3"/>
        <v>160102.11440726192</v>
      </c>
      <c r="C89" s="437">
        <f t="shared" si="4"/>
        <v>161169.46183664366</v>
      </c>
      <c r="D89" s="437">
        <f t="shared" si="4"/>
        <v>162243.92491555461</v>
      </c>
      <c r="E89" s="437">
        <f t="shared" si="4"/>
        <v>163325.55108165831</v>
      </c>
      <c r="F89" s="437">
        <f t="shared" si="4"/>
        <v>164414.38808886937</v>
      </c>
      <c r="G89" s="437">
        <f t="shared" si="4"/>
        <v>165510.48400946183</v>
      </c>
      <c r="H89" s="437">
        <f t="shared" si="4"/>
        <v>166613.88723619157</v>
      </c>
      <c r="I89" s="437">
        <f t="shared" si="4"/>
        <v>167724.64648443283</v>
      </c>
      <c r="J89" s="437">
        <f t="shared" si="4"/>
        <v>168842.81079432904</v>
      </c>
      <c r="K89" s="437">
        <f t="shared" si="4"/>
        <v>169968.42953295787</v>
      </c>
      <c r="L89" s="437">
        <f t="shared" ref="L89:M99" si="8">IF(AND(Y89&gt;=$B$4,Y89&lt;=$C$4),(1+$B$7/12)*K89,(1+$E$7/12)*K89)</f>
        <v>171101.5523965109</v>
      </c>
      <c r="M89" s="437">
        <f t="shared" si="8"/>
        <v>172242.22941248762</v>
      </c>
      <c r="N89" s="415"/>
      <c r="O89" s="436" t="str">
        <f t="shared" si="7"/>
        <v>206001</v>
      </c>
      <c r="P89" s="436" t="str">
        <f t="shared" si="7"/>
        <v>206002</v>
      </c>
      <c r="Q89" s="436" t="str">
        <f t="shared" si="7"/>
        <v>206003</v>
      </c>
      <c r="R89" s="436" t="str">
        <f t="shared" si="6"/>
        <v>206004</v>
      </c>
      <c r="S89" s="436" t="str">
        <f t="shared" si="6"/>
        <v>206005</v>
      </c>
      <c r="T89" s="436" t="str">
        <f t="shared" si="6"/>
        <v>206006</v>
      </c>
      <c r="U89" s="436" t="str">
        <f t="shared" si="6"/>
        <v>206007</v>
      </c>
      <c r="V89" s="436" t="str">
        <f t="shared" si="6"/>
        <v>206008</v>
      </c>
      <c r="W89" s="436" t="str">
        <f t="shared" si="6"/>
        <v>206009</v>
      </c>
      <c r="X89" s="436" t="str">
        <f t="shared" si="6"/>
        <v>206010</v>
      </c>
      <c r="Y89" s="436" t="str">
        <f t="shared" si="6"/>
        <v>206011</v>
      </c>
      <c r="Z89" s="436" t="str">
        <f t="shared" si="6"/>
        <v>206012</v>
      </c>
    </row>
    <row r="90" spans="1:26">
      <c r="A90" s="434">
        <v>2061</v>
      </c>
      <c r="B90" s="437">
        <f t="shared" si="3"/>
        <v>173390.51094190418</v>
      </c>
      <c r="C90" s="437">
        <f t="shared" ref="C90:K99" si="9">IF(AND(P90&gt;=$B$4,P90&lt;=$C$4),(1+$B$7/12)*B90,(1+$E$7/12)*B90)</f>
        <v>174546.44768151687</v>
      </c>
      <c r="D90" s="437">
        <f t="shared" si="9"/>
        <v>175710.09066606031</v>
      </c>
      <c r="E90" s="437">
        <f t="shared" si="9"/>
        <v>176881.4912705007</v>
      </c>
      <c r="F90" s="437">
        <f t="shared" si="9"/>
        <v>178060.70121230403</v>
      </c>
      <c r="G90" s="437">
        <f t="shared" si="9"/>
        <v>179247.77255371938</v>
      </c>
      <c r="H90" s="437">
        <f t="shared" si="9"/>
        <v>180442.75770407749</v>
      </c>
      <c r="I90" s="437">
        <f t="shared" si="9"/>
        <v>181645.70942210467</v>
      </c>
      <c r="J90" s="437">
        <f t="shared" si="9"/>
        <v>182856.68081825203</v>
      </c>
      <c r="K90" s="437">
        <f t="shared" si="9"/>
        <v>184075.72535704036</v>
      </c>
      <c r="L90" s="437">
        <f t="shared" si="8"/>
        <v>185302.89685942061</v>
      </c>
      <c r="M90" s="437">
        <f t="shared" si="8"/>
        <v>186538.24950515007</v>
      </c>
      <c r="N90" s="415"/>
      <c r="O90" s="436" t="str">
        <f t="shared" si="7"/>
        <v>206101</v>
      </c>
      <c r="P90" s="436" t="str">
        <f t="shared" si="7"/>
        <v>206102</v>
      </c>
      <c r="Q90" s="436" t="str">
        <f t="shared" si="7"/>
        <v>206103</v>
      </c>
      <c r="R90" s="436" t="str">
        <f t="shared" si="6"/>
        <v>206104</v>
      </c>
      <c r="S90" s="436" t="str">
        <f t="shared" si="6"/>
        <v>206105</v>
      </c>
      <c r="T90" s="436" t="str">
        <f t="shared" si="6"/>
        <v>206106</v>
      </c>
      <c r="U90" s="436" t="str">
        <f t="shared" si="6"/>
        <v>206107</v>
      </c>
      <c r="V90" s="436" t="str">
        <f t="shared" si="6"/>
        <v>206108</v>
      </c>
      <c r="W90" s="436" t="str">
        <f t="shared" si="6"/>
        <v>206109</v>
      </c>
      <c r="X90" s="436" t="str">
        <f t="shared" si="6"/>
        <v>206110</v>
      </c>
      <c r="Y90" s="436" t="str">
        <f t="shared" si="6"/>
        <v>206111</v>
      </c>
      <c r="Z90" s="436" t="str">
        <f t="shared" si="6"/>
        <v>206112</v>
      </c>
    </row>
    <row r="91" spans="1:26">
      <c r="A91" s="434">
        <v>2062</v>
      </c>
      <c r="B91" s="437">
        <f t="shared" si="3"/>
        <v>187781.83783518439</v>
      </c>
      <c r="C91" s="437">
        <f t="shared" si="9"/>
        <v>189033.71675408559</v>
      </c>
      <c r="D91" s="437">
        <f t="shared" si="9"/>
        <v>190293.94153244616</v>
      </c>
      <c r="E91" s="437">
        <f t="shared" si="9"/>
        <v>191562.56780932911</v>
      </c>
      <c r="F91" s="437">
        <f t="shared" si="9"/>
        <v>192839.65159472462</v>
      </c>
      <c r="G91" s="437">
        <f t="shared" si="9"/>
        <v>194125.24927202277</v>
      </c>
      <c r="H91" s="437">
        <f t="shared" si="9"/>
        <v>195419.4176005029</v>
      </c>
      <c r="I91" s="437">
        <f t="shared" si="9"/>
        <v>196722.21371783956</v>
      </c>
      <c r="J91" s="437">
        <f t="shared" si="9"/>
        <v>198033.69514262516</v>
      </c>
      <c r="K91" s="437">
        <f t="shared" si="9"/>
        <v>199353.91977690932</v>
      </c>
      <c r="L91" s="437">
        <f t="shared" si="8"/>
        <v>200682.94590875536</v>
      </c>
      <c r="M91" s="437">
        <f t="shared" si="8"/>
        <v>202020.83221481371</v>
      </c>
      <c r="N91" s="415"/>
      <c r="O91" s="436" t="str">
        <f t="shared" si="7"/>
        <v>206201</v>
      </c>
      <c r="P91" s="436" t="str">
        <f t="shared" si="7"/>
        <v>206202</v>
      </c>
      <c r="Q91" s="436" t="str">
        <f t="shared" si="7"/>
        <v>206203</v>
      </c>
      <c r="R91" s="436" t="str">
        <f t="shared" si="6"/>
        <v>206204</v>
      </c>
      <c r="S91" s="436" t="str">
        <f t="shared" si="6"/>
        <v>206205</v>
      </c>
      <c r="T91" s="436" t="str">
        <f t="shared" si="6"/>
        <v>206206</v>
      </c>
      <c r="U91" s="436" t="str">
        <f t="shared" si="6"/>
        <v>206207</v>
      </c>
      <c r="V91" s="436" t="str">
        <f t="shared" si="6"/>
        <v>206208</v>
      </c>
      <c r="W91" s="436" t="str">
        <f t="shared" si="6"/>
        <v>206209</v>
      </c>
      <c r="X91" s="436" t="str">
        <f t="shared" si="6"/>
        <v>206210</v>
      </c>
      <c r="Y91" s="436" t="str">
        <f t="shared" si="6"/>
        <v>206211</v>
      </c>
      <c r="Z91" s="436" t="str">
        <f t="shared" si="6"/>
        <v>206212</v>
      </c>
    </row>
    <row r="92" spans="1:26">
      <c r="A92" s="434">
        <v>2063</v>
      </c>
      <c r="B92" s="437">
        <f t="shared" si="3"/>
        <v>203367.63776291246</v>
      </c>
      <c r="C92" s="437">
        <f t="shared" si="9"/>
        <v>204723.42201466521</v>
      </c>
      <c r="D92" s="437">
        <f t="shared" si="9"/>
        <v>206088.2448280963</v>
      </c>
      <c r="E92" s="437">
        <f t="shared" si="9"/>
        <v>207462.1664602836</v>
      </c>
      <c r="F92" s="437">
        <f t="shared" si="9"/>
        <v>208845.24757001881</v>
      </c>
      <c r="G92" s="437">
        <f t="shared" si="9"/>
        <v>210237.54922048558</v>
      </c>
      <c r="H92" s="437">
        <f t="shared" si="9"/>
        <v>211639.13288195548</v>
      </c>
      <c r="I92" s="437">
        <f t="shared" si="9"/>
        <v>213050.06043450182</v>
      </c>
      <c r="J92" s="437">
        <f t="shared" si="9"/>
        <v>214470.39417073183</v>
      </c>
      <c r="K92" s="437">
        <f t="shared" si="9"/>
        <v>215900.19679853669</v>
      </c>
      <c r="L92" s="437">
        <f t="shared" si="8"/>
        <v>217339.53144386027</v>
      </c>
      <c r="M92" s="437">
        <f t="shared" si="8"/>
        <v>218788.46165348598</v>
      </c>
      <c r="N92" s="415"/>
      <c r="O92" s="436" t="str">
        <f t="shared" si="7"/>
        <v>206301</v>
      </c>
      <c r="P92" s="436" t="str">
        <f t="shared" si="7"/>
        <v>206302</v>
      </c>
      <c r="Q92" s="436" t="str">
        <f t="shared" si="7"/>
        <v>206303</v>
      </c>
      <c r="R92" s="436" t="str">
        <f t="shared" si="6"/>
        <v>206304</v>
      </c>
      <c r="S92" s="436" t="str">
        <f t="shared" si="6"/>
        <v>206305</v>
      </c>
      <c r="T92" s="436" t="str">
        <f t="shared" si="6"/>
        <v>206306</v>
      </c>
      <c r="U92" s="436" t="str">
        <f t="shared" si="6"/>
        <v>206307</v>
      </c>
      <c r="V92" s="436" t="str">
        <f t="shared" si="6"/>
        <v>206308</v>
      </c>
      <c r="W92" s="436" t="str">
        <f t="shared" si="6"/>
        <v>206309</v>
      </c>
      <c r="X92" s="436" t="str">
        <f t="shared" si="6"/>
        <v>206310</v>
      </c>
      <c r="Y92" s="436" t="str">
        <f t="shared" si="6"/>
        <v>206311</v>
      </c>
      <c r="Z92" s="436" t="str">
        <f t="shared" si="6"/>
        <v>206312</v>
      </c>
    </row>
    <row r="93" spans="1:26">
      <c r="A93" s="434">
        <v>2064</v>
      </c>
      <c r="B93" s="437">
        <f t="shared" si="3"/>
        <v>220247.05139784253</v>
      </c>
      <c r="C93" s="437">
        <f t="shared" si="9"/>
        <v>221715.36507382814</v>
      </c>
      <c r="D93" s="437">
        <f t="shared" si="9"/>
        <v>223193.46750765364</v>
      </c>
      <c r="E93" s="437">
        <f t="shared" si="9"/>
        <v>224681.42395770465</v>
      </c>
      <c r="F93" s="437">
        <f t="shared" si="9"/>
        <v>226179.30011742268</v>
      </c>
      <c r="G93" s="437">
        <f t="shared" si="9"/>
        <v>227687.16211820548</v>
      </c>
      <c r="H93" s="437">
        <f t="shared" si="9"/>
        <v>229205.07653232684</v>
      </c>
      <c r="I93" s="437">
        <f t="shared" si="9"/>
        <v>230733.11037587567</v>
      </c>
      <c r="J93" s="437">
        <f t="shared" si="9"/>
        <v>232271.33111171483</v>
      </c>
      <c r="K93" s="437">
        <f t="shared" si="9"/>
        <v>233819.80665245958</v>
      </c>
      <c r="L93" s="437">
        <f t="shared" si="8"/>
        <v>235378.60536347594</v>
      </c>
      <c r="M93" s="437">
        <f t="shared" si="8"/>
        <v>236947.79606589911</v>
      </c>
      <c r="N93" s="415"/>
      <c r="O93" s="436" t="str">
        <f t="shared" si="7"/>
        <v>206401</v>
      </c>
      <c r="P93" s="436" t="str">
        <f t="shared" si="7"/>
        <v>206402</v>
      </c>
      <c r="Q93" s="436" t="str">
        <f t="shared" si="7"/>
        <v>206403</v>
      </c>
      <c r="R93" s="436" t="str">
        <f t="shared" si="6"/>
        <v>206404</v>
      </c>
      <c r="S93" s="436" t="str">
        <f t="shared" si="6"/>
        <v>206405</v>
      </c>
      <c r="T93" s="436" t="str">
        <f t="shared" si="6"/>
        <v>206406</v>
      </c>
      <c r="U93" s="436" t="str">
        <f t="shared" si="6"/>
        <v>206407</v>
      </c>
      <c r="V93" s="436" t="str">
        <f t="shared" si="6"/>
        <v>206408</v>
      </c>
      <c r="W93" s="436" t="str">
        <f t="shared" si="6"/>
        <v>206409</v>
      </c>
      <c r="X93" s="436" t="str">
        <f t="shared" si="6"/>
        <v>206410</v>
      </c>
      <c r="Y93" s="436" t="str">
        <f t="shared" si="6"/>
        <v>206411</v>
      </c>
      <c r="Z93" s="436" t="str">
        <f t="shared" si="6"/>
        <v>206412</v>
      </c>
    </row>
    <row r="94" spans="1:26">
      <c r="A94" s="434">
        <v>2065</v>
      </c>
      <c r="B94" s="437">
        <f t="shared" si="3"/>
        <v>238527.44803967176</v>
      </c>
      <c r="C94" s="437">
        <f t="shared" si="9"/>
        <v>240117.63102660287</v>
      </c>
      <c r="D94" s="437">
        <f t="shared" si="9"/>
        <v>241718.41523344687</v>
      </c>
      <c r="E94" s="437">
        <f t="shared" si="9"/>
        <v>243329.87133500318</v>
      </c>
      <c r="F94" s="437">
        <f t="shared" si="9"/>
        <v>244952.07047723653</v>
      </c>
      <c r="G94" s="437">
        <f t="shared" si="9"/>
        <v>246585.08428041809</v>
      </c>
      <c r="H94" s="437">
        <f t="shared" si="9"/>
        <v>248228.98484228752</v>
      </c>
      <c r="I94" s="437">
        <f t="shared" si="9"/>
        <v>249883.8447412361</v>
      </c>
      <c r="J94" s="437">
        <f t="shared" si="9"/>
        <v>251549.73703951098</v>
      </c>
      <c r="K94" s="437">
        <f t="shared" si="9"/>
        <v>253226.73528644102</v>
      </c>
      <c r="L94" s="437">
        <f t="shared" si="8"/>
        <v>254914.91352168395</v>
      </c>
      <c r="M94" s="437">
        <f t="shared" si="8"/>
        <v>256614.34627849516</v>
      </c>
      <c r="N94" s="415"/>
      <c r="O94" s="436" t="str">
        <f t="shared" si="7"/>
        <v>206501</v>
      </c>
      <c r="P94" s="436" t="str">
        <f t="shared" si="7"/>
        <v>206502</v>
      </c>
      <c r="Q94" s="436" t="str">
        <f t="shared" si="7"/>
        <v>206503</v>
      </c>
      <c r="R94" s="436" t="str">
        <f t="shared" si="6"/>
        <v>206504</v>
      </c>
      <c r="S94" s="436" t="str">
        <f t="shared" si="6"/>
        <v>206505</v>
      </c>
      <c r="T94" s="436" t="str">
        <f t="shared" si="6"/>
        <v>206506</v>
      </c>
      <c r="U94" s="436" t="str">
        <f t="shared" si="6"/>
        <v>206507</v>
      </c>
      <c r="V94" s="436" t="str">
        <f t="shared" si="6"/>
        <v>206508</v>
      </c>
      <c r="W94" s="436" t="str">
        <f t="shared" si="6"/>
        <v>206509</v>
      </c>
      <c r="X94" s="436" t="str">
        <f t="shared" si="6"/>
        <v>206510</v>
      </c>
      <c r="Y94" s="436" t="str">
        <f t="shared" si="6"/>
        <v>206511</v>
      </c>
      <c r="Z94" s="436" t="str">
        <f t="shared" si="6"/>
        <v>206512</v>
      </c>
    </row>
    <row r="95" spans="1:26">
      <c r="A95" s="434">
        <v>2066</v>
      </c>
      <c r="B95" s="437">
        <f t="shared" si="3"/>
        <v>258325.10858701845</v>
      </c>
      <c r="C95" s="437">
        <f t="shared" si="9"/>
        <v>260047.27597759856</v>
      </c>
      <c r="D95" s="437">
        <f t="shared" si="9"/>
        <v>261780.92448411588</v>
      </c>
      <c r="E95" s="437">
        <f t="shared" si="9"/>
        <v>263526.13064734329</v>
      </c>
      <c r="F95" s="437">
        <f t="shared" si="9"/>
        <v>265282.97151832556</v>
      </c>
      <c r="G95" s="437">
        <f t="shared" si="9"/>
        <v>267051.52466178103</v>
      </c>
      <c r="H95" s="437">
        <f t="shared" si="9"/>
        <v>268831.8681595262</v>
      </c>
      <c r="I95" s="437">
        <f t="shared" si="9"/>
        <v>270624.08061392303</v>
      </c>
      <c r="J95" s="437">
        <f t="shared" si="9"/>
        <v>272428.24115134915</v>
      </c>
      <c r="K95" s="437">
        <f t="shared" si="9"/>
        <v>274244.42942569149</v>
      </c>
      <c r="L95" s="437">
        <f t="shared" si="8"/>
        <v>276072.72562186274</v>
      </c>
      <c r="M95" s="437">
        <f t="shared" si="8"/>
        <v>277913.21045934182</v>
      </c>
      <c r="N95" s="415"/>
      <c r="O95" s="436" t="str">
        <f t="shared" si="7"/>
        <v>206601</v>
      </c>
      <c r="P95" s="436" t="str">
        <f t="shared" si="7"/>
        <v>206602</v>
      </c>
      <c r="Q95" s="436" t="str">
        <f t="shared" si="7"/>
        <v>206603</v>
      </c>
      <c r="R95" s="436" t="str">
        <f t="shared" si="6"/>
        <v>206604</v>
      </c>
      <c r="S95" s="436" t="str">
        <f t="shared" si="6"/>
        <v>206605</v>
      </c>
      <c r="T95" s="436" t="str">
        <f t="shared" si="6"/>
        <v>206606</v>
      </c>
      <c r="U95" s="436" t="str">
        <f t="shared" si="6"/>
        <v>206607</v>
      </c>
      <c r="V95" s="436" t="str">
        <f t="shared" si="6"/>
        <v>206608</v>
      </c>
      <c r="W95" s="436" t="str">
        <f t="shared" si="6"/>
        <v>206609</v>
      </c>
      <c r="X95" s="436" t="str">
        <f t="shared" si="6"/>
        <v>206610</v>
      </c>
      <c r="Y95" s="436" t="str">
        <f t="shared" si="6"/>
        <v>206611</v>
      </c>
      <c r="Z95" s="436" t="str">
        <f t="shared" si="6"/>
        <v>206612</v>
      </c>
    </row>
    <row r="96" spans="1:26">
      <c r="A96" s="434">
        <v>2067</v>
      </c>
      <c r="B96" s="437">
        <f t="shared" si="3"/>
        <v>279765.96519573743</v>
      </c>
      <c r="C96" s="437">
        <f t="shared" si="9"/>
        <v>281631.07163037563</v>
      </c>
      <c r="D96" s="437">
        <f t="shared" si="9"/>
        <v>283508.61210791144</v>
      </c>
      <c r="E96" s="437">
        <f t="shared" si="9"/>
        <v>285398.66952196416</v>
      </c>
      <c r="F96" s="437">
        <f t="shared" si="9"/>
        <v>287301.32731877721</v>
      </c>
      <c r="G96" s="437">
        <f t="shared" si="9"/>
        <v>289216.66950090235</v>
      </c>
      <c r="H96" s="437">
        <f t="shared" si="9"/>
        <v>291144.78063090832</v>
      </c>
      <c r="I96" s="437">
        <f t="shared" si="9"/>
        <v>293085.74583511439</v>
      </c>
      <c r="J96" s="437">
        <f t="shared" si="9"/>
        <v>295039.65080734849</v>
      </c>
      <c r="K96" s="437">
        <f t="shared" si="9"/>
        <v>297006.58181273082</v>
      </c>
      <c r="L96" s="437">
        <f t="shared" si="8"/>
        <v>298986.62569148233</v>
      </c>
      <c r="M96" s="437">
        <f t="shared" si="8"/>
        <v>300979.86986275885</v>
      </c>
      <c r="N96" s="415"/>
      <c r="O96" s="436" t="str">
        <f t="shared" si="7"/>
        <v>206701</v>
      </c>
      <c r="P96" s="436" t="str">
        <f t="shared" si="7"/>
        <v>206702</v>
      </c>
      <c r="Q96" s="436" t="str">
        <f t="shared" si="7"/>
        <v>206703</v>
      </c>
      <c r="R96" s="436" t="str">
        <f t="shared" si="6"/>
        <v>206704</v>
      </c>
      <c r="S96" s="436" t="str">
        <f t="shared" si="6"/>
        <v>206705</v>
      </c>
      <c r="T96" s="436" t="str">
        <f t="shared" si="6"/>
        <v>206706</v>
      </c>
      <c r="U96" s="436" t="str">
        <f t="shared" si="6"/>
        <v>206707</v>
      </c>
      <c r="V96" s="436" t="str">
        <f t="shared" si="6"/>
        <v>206708</v>
      </c>
      <c r="W96" s="436" t="str">
        <f t="shared" si="6"/>
        <v>206709</v>
      </c>
      <c r="X96" s="436" t="str">
        <f t="shared" si="6"/>
        <v>206710</v>
      </c>
      <c r="Y96" s="436" t="str">
        <f t="shared" si="6"/>
        <v>206711</v>
      </c>
      <c r="Z96" s="436" t="str">
        <f t="shared" si="6"/>
        <v>206712</v>
      </c>
    </row>
    <row r="97" spans="1:26">
      <c r="A97" s="434">
        <v>2068</v>
      </c>
      <c r="B97" s="437">
        <f t="shared" si="3"/>
        <v>302986.40232851054</v>
      </c>
      <c r="C97" s="437">
        <f t="shared" si="9"/>
        <v>305006.31167736725</v>
      </c>
      <c r="D97" s="437">
        <f t="shared" si="9"/>
        <v>307039.68708854966</v>
      </c>
      <c r="E97" s="437">
        <f t="shared" si="9"/>
        <v>309086.61833580665</v>
      </c>
      <c r="F97" s="437">
        <f t="shared" si="9"/>
        <v>311147.19579137868</v>
      </c>
      <c r="G97" s="437">
        <f t="shared" si="9"/>
        <v>313221.51042998786</v>
      </c>
      <c r="H97" s="437">
        <f t="shared" si="9"/>
        <v>315309.65383285441</v>
      </c>
      <c r="I97" s="437">
        <f t="shared" si="9"/>
        <v>317411.7181917401</v>
      </c>
      <c r="J97" s="437">
        <f t="shared" si="9"/>
        <v>319527.79631301836</v>
      </c>
      <c r="K97" s="437">
        <f t="shared" si="9"/>
        <v>321657.98162177182</v>
      </c>
      <c r="L97" s="437">
        <f t="shared" si="8"/>
        <v>323802.36816591694</v>
      </c>
      <c r="M97" s="437">
        <f t="shared" si="8"/>
        <v>325961.05062035634</v>
      </c>
      <c r="N97" s="415"/>
      <c r="O97" s="436" t="str">
        <f t="shared" si="7"/>
        <v>206801</v>
      </c>
      <c r="P97" s="436" t="str">
        <f t="shared" si="7"/>
        <v>206802</v>
      </c>
      <c r="Q97" s="436" t="str">
        <f t="shared" si="7"/>
        <v>206803</v>
      </c>
      <c r="R97" s="436" t="str">
        <f t="shared" si="6"/>
        <v>206804</v>
      </c>
      <c r="S97" s="436" t="str">
        <f t="shared" si="6"/>
        <v>206805</v>
      </c>
      <c r="T97" s="436" t="str">
        <f t="shared" si="6"/>
        <v>206806</v>
      </c>
      <c r="U97" s="436" t="str">
        <f t="shared" si="6"/>
        <v>206807</v>
      </c>
      <c r="V97" s="436" t="str">
        <f t="shared" si="6"/>
        <v>206808</v>
      </c>
      <c r="W97" s="436" t="str">
        <f t="shared" si="6"/>
        <v>206809</v>
      </c>
      <c r="X97" s="436" t="str">
        <f t="shared" si="6"/>
        <v>206810</v>
      </c>
      <c r="Y97" s="436" t="str">
        <f t="shared" si="6"/>
        <v>206811</v>
      </c>
      <c r="Z97" s="436" t="str">
        <f t="shared" si="6"/>
        <v>206812</v>
      </c>
    </row>
    <row r="98" spans="1:26">
      <c r="A98" s="434">
        <v>2069</v>
      </c>
      <c r="B98" s="437">
        <f t="shared" si="3"/>
        <v>328134.12429115869</v>
      </c>
      <c r="C98" s="437">
        <f t="shared" si="9"/>
        <v>330321.68511976639</v>
      </c>
      <c r="D98" s="437">
        <f t="shared" si="9"/>
        <v>332523.82968723145</v>
      </c>
      <c r="E98" s="437">
        <f t="shared" si="9"/>
        <v>334740.65521847963</v>
      </c>
      <c r="F98" s="437">
        <f t="shared" si="9"/>
        <v>336972.2595866028</v>
      </c>
      <c r="G98" s="437">
        <f t="shared" si="9"/>
        <v>339218.7413171801</v>
      </c>
      <c r="H98" s="437">
        <f t="shared" si="9"/>
        <v>341480.19959262793</v>
      </c>
      <c r="I98" s="437">
        <f t="shared" si="9"/>
        <v>343756.73425657878</v>
      </c>
      <c r="J98" s="437">
        <f t="shared" si="9"/>
        <v>346048.4458182893</v>
      </c>
      <c r="K98" s="437">
        <f t="shared" si="9"/>
        <v>348355.43545707787</v>
      </c>
      <c r="L98" s="437">
        <f t="shared" si="8"/>
        <v>350677.8050267917</v>
      </c>
      <c r="M98" s="437">
        <f t="shared" si="8"/>
        <v>353015.65706030361</v>
      </c>
      <c r="N98" s="415"/>
      <c r="O98" s="436" t="str">
        <f t="shared" si="7"/>
        <v>206901</v>
      </c>
      <c r="P98" s="436" t="str">
        <f t="shared" si="7"/>
        <v>206902</v>
      </c>
      <c r="Q98" s="436" t="str">
        <f t="shared" si="7"/>
        <v>206903</v>
      </c>
      <c r="R98" s="436" t="str">
        <f t="shared" si="6"/>
        <v>206904</v>
      </c>
      <c r="S98" s="436" t="str">
        <f t="shared" si="6"/>
        <v>206905</v>
      </c>
      <c r="T98" s="436" t="str">
        <f t="shared" si="6"/>
        <v>206906</v>
      </c>
      <c r="U98" s="436" t="str">
        <f t="shared" si="6"/>
        <v>206907</v>
      </c>
      <c r="V98" s="436" t="str">
        <f t="shared" si="6"/>
        <v>206908</v>
      </c>
      <c r="W98" s="436" t="str">
        <f t="shared" si="6"/>
        <v>206909</v>
      </c>
      <c r="X98" s="436" t="str">
        <f t="shared" si="6"/>
        <v>206910</v>
      </c>
      <c r="Y98" s="436" t="str">
        <f t="shared" si="6"/>
        <v>206911</v>
      </c>
      <c r="Z98" s="436" t="str">
        <f t="shared" si="6"/>
        <v>206912</v>
      </c>
    </row>
    <row r="99" spans="1:26">
      <c r="A99" s="438">
        <v>2070</v>
      </c>
      <c r="B99" s="439">
        <f t="shared" si="3"/>
        <v>355369.09477403894</v>
      </c>
      <c r="C99" s="439">
        <f t="shared" si="9"/>
        <v>357738.22207253252</v>
      </c>
      <c r="D99" s="439">
        <f t="shared" si="9"/>
        <v>360123.14355301607</v>
      </c>
      <c r="E99" s="439">
        <f t="shared" si="9"/>
        <v>362523.96451003617</v>
      </c>
      <c r="F99" s="439">
        <f t="shared" si="9"/>
        <v>364940.79094010306</v>
      </c>
      <c r="G99" s="439">
        <f t="shared" si="9"/>
        <v>367373.72954637039</v>
      </c>
      <c r="H99" s="439">
        <f t="shared" si="9"/>
        <v>369822.88774334616</v>
      </c>
      <c r="I99" s="439">
        <f t="shared" si="9"/>
        <v>372288.37366163509</v>
      </c>
      <c r="J99" s="439">
        <f t="shared" si="9"/>
        <v>374770.29615271266</v>
      </c>
      <c r="K99" s="439">
        <f t="shared" si="9"/>
        <v>377268.76479373075</v>
      </c>
      <c r="L99" s="439">
        <f t="shared" si="8"/>
        <v>379783.8898923556</v>
      </c>
      <c r="M99" s="439">
        <f t="shared" si="8"/>
        <v>382315.78249163792</v>
      </c>
      <c r="N99" s="415"/>
      <c r="O99" s="440" t="str">
        <f t="shared" si="7"/>
        <v>207001</v>
      </c>
      <c r="P99" s="440" t="str">
        <f t="shared" si="7"/>
        <v>207002</v>
      </c>
      <c r="Q99" s="440" t="str">
        <f t="shared" si="7"/>
        <v>207003</v>
      </c>
      <c r="R99" s="440" t="str">
        <f t="shared" si="6"/>
        <v>207004</v>
      </c>
      <c r="S99" s="440" t="str">
        <f t="shared" si="6"/>
        <v>207005</v>
      </c>
      <c r="T99" s="440" t="str">
        <f t="shared" si="6"/>
        <v>207006</v>
      </c>
      <c r="U99" s="440" t="str">
        <f t="shared" si="6"/>
        <v>207007</v>
      </c>
      <c r="V99" s="440" t="str">
        <f t="shared" si="6"/>
        <v>207008</v>
      </c>
      <c r="W99" s="440" t="str">
        <f t="shared" si="6"/>
        <v>207009</v>
      </c>
      <c r="X99" s="440" t="str">
        <f t="shared" si="6"/>
        <v>207010</v>
      </c>
      <c r="Y99" s="440" t="str">
        <f t="shared" si="6"/>
        <v>207011</v>
      </c>
      <c r="Z99" s="440" t="str">
        <f t="shared" si="6"/>
        <v>207012</v>
      </c>
    </row>
    <row r="100" spans="1:26">
      <c r="A100" s="415"/>
      <c r="B100" s="415"/>
      <c r="C100" s="415"/>
      <c r="D100" s="415"/>
      <c r="E100" s="415"/>
      <c r="F100" s="415"/>
      <c r="G100" s="415"/>
      <c r="H100" s="415"/>
      <c r="I100" s="415"/>
      <c r="J100" s="415"/>
      <c r="K100" s="415"/>
      <c r="L100" s="415"/>
      <c r="M100" s="415"/>
      <c r="N100" s="415"/>
      <c r="O100" s="415"/>
      <c r="P100" s="415"/>
      <c r="Q100" s="415"/>
      <c r="R100" s="415"/>
      <c r="S100" s="415"/>
      <c r="T100" s="415"/>
      <c r="U100" s="415"/>
      <c r="V100" s="415"/>
      <c r="W100" s="415"/>
      <c r="X100" s="415"/>
      <c r="Y100" s="415"/>
      <c r="Z100" s="415"/>
    </row>
    <row r="101" spans="1:26">
      <c r="A101" s="517" t="s">
        <v>373</v>
      </c>
      <c r="B101" s="415"/>
      <c r="C101" s="415"/>
      <c r="D101" s="415"/>
      <c r="E101" s="415"/>
      <c r="F101" s="415"/>
      <c r="G101" s="415"/>
      <c r="H101" s="415"/>
      <c r="I101" s="415"/>
      <c r="J101" s="415"/>
      <c r="K101" s="415"/>
      <c r="L101" s="415"/>
      <c r="M101" s="415"/>
      <c r="N101" s="415"/>
      <c r="O101" s="415"/>
      <c r="P101" s="415"/>
      <c r="Q101" s="415"/>
      <c r="R101" s="415"/>
      <c r="S101" s="415"/>
      <c r="T101" s="415"/>
      <c r="U101" s="415"/>
      <c r="V101" s="415"/>
      <c r="W101" s="415"/>
      <c r="X101" s="415"/>
      <c r="Y101" s="415"/>
      <c r="Z101" s="415"/>
    </row>
    <row r="102" spans="1:26">
      <c r="A102" s="415"/>
      <c r="B102" s="417" t="s">
        <v>374</v>
      </c>
      <c r="C102" s="415" t="s">
        <v>375</v>
      </c>
      <c r="D102" s="415"/>
      <c r="E102" s="415"/>
      <c r="F102" s="415"/>
      <c r="G102" s="415"/>
      <c r="H102" s="415"/>
      <c r="I102" s="415"/>
      <c r="J102" s="415"/>
      <c r="K102" s="415"/>
      <c r="L102" s="415"/>
      <c r="M102" s="415"/>
      <c r="N102" s="415"/>
      <c r="O102" s="415"/>
      <c r="P102" s="415"/>
      <c r="Q102" s="415"/>
      <c r="R102" s="415"/>
      <c r="S102" s="415"/>
      <c r="T102" s="415"/>
      <c r="U102" s="415"/>
      <c r="V102" s="415"/>
      <c r="W102" s="415"/>
      <c r="X102" s="415"/>
      <c r="Y102" s="415"/>
      <c r="Z102" s="415"/>
    </row>
    <row r="103" spans="1:26">
      <c r="A103" s="415"/>
      <c r="B103" s="519" t="s">
        <v>374</v>
      </c>
      <c r="C103" s="518" t="s">
        <v>376</v>
      </c>
      <c r="D103" s="415"/>
      <c r="E103" s="415"/>
      <c r="F103" s="415"/>
      <c r="G103" s="415"/>
      <c r="H103" s="415"/>
      <c r="I103" s="415"/>
      <c r="J103" s="415"/>
      <c r="K103" s="415"/>
      <c r="L103" s="415"/>
      <c r="M103" s="415"/>
      <c r="N103" s="415"/>
      <c r="O103" s="415"/>
      <c r="P103" s="415"/>
      <c r="Q103" s="415"/>
      <c r="R103" s="415"/>
      <c r="S103" s="415"/>
      <c r="T103" s="415"/>
      <c r="U103" s="415"/>
      <c r="V103" s="415"/>
      <c r="W103" s="415"/>
      <c r="X103" s="415"/>
      <c r="Y103" s="415"/>
      <c r="Z103" s="415"/>
    </row>
  </sheetData>
  <sheetProtection algorithmName="SHA-512" hashValue="ca6wcpVOHg5syY0DbsENBb9oBvH/kJcepoGQSIbeNn3XkWZ0QtN+burr5Y6+t2Pnmm0nN7S4xChvsJnatg6W8g==" saltValue="Zl5tjcmmHg/A8EDs1AkIcQ==" spinCount="100000" sheet="1" selectLockedCells="1"/>
  <mergeCells count="6">
    <mergeCell ref="AG9:AK9"/>
    <mergeCell ref="B9:F9"/>
    <mergeCell ref="H9:L9"/>
    <mergeCell ref="O9:S9"/>
    <mergeCell ref="U9:Y9"/>
    <mergeCell ref="AA9:AE9"/>
  </mergeCells>
  <printOptions horizontalCentered="1"/>
  <pageMargins left="0.25" right="0.25" top="0.5" bottom="0.5" header="0.25" footer="0.25"/>
  <pageSetup paperSize="3" orientation="portrait" horizontalDpi="0" verticalDpi="0"/>
  <ignoredErrors>
    <ignoredError sqref="J14 C14:D14 Q14" unlocked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C89A4-70B6-6047-830C-9C677DD9FBEF}">
  <sheetPr codeName="Sheet7">
    <tabColor rgb="FF7C6992"/>
  </sheetPr>
  <dimension ref="A1:D7"/>
  <sheetViews>
    <sheetView showGridLines="0" zoomScaleNormal="100" workbookViewId="0">
      <selection activeCell="B1" sqref="B1"/>
    </sheetView>
  </sheetViews>
  <sheetFormatPr baseColWidth="10" defaultColWidth="10.59765625" defaultRowHeight="15"/>
  <cols>
    <col min="1" max="1" width="2.796875" style="328" customWidth="1"/>
    <col min="2" max="3" width="26" style="328" customWidth="1"/>
    <col min="4" max="4" width="51" style="328" customWidth="1"/>
    <col min="5" max="16384" width="10.59765625" style="328"/>
  </cols>
  <sheetData>
    <row r="1" spans="1:4" ht="19">
      <c r="A1" s="364" t="s">
        <v>265</v>
      </c>
    </row>
    <row r="3" spans="1:4">
      <c r="B3" s="389" t="s">
        <v>266</v>
      </c>
      <c r="C3" s="390">
        <f>(PBW_NoInflation!$H$179)</f>
        <v>0</v>
      </c>
      <c r="D3" s="363" t="s">
        <v>267</v>
      </c>
    </row>
    <row r="4" spans="1:4">
      <c r="B4" s="391" t="s">
        <v>81</v>
      </c>
      <c r="C4" s="392">
        <f>(PBW!$H$10)</f>
        <v>47300</v>
      </c>
      <c r="D4" s="363" t="s">
        <v>268</v>
      </c>
    </row>
    <row r="5" spans="1:4">
      <c r="B5" s="391" t="s">
        <v>218</v>
      </c>
      <c r="C5" s="393">
        <f>VLOOKUP($C$4,'DFD Inflation Summary'!$B:$C,2,FALSE)</f>
        <v>0.95002637385326671</v>
      </c>
    </row>
    <row r="6" spans="1:4">
      <c r="B6" s="391" t="s">
        <v>219</v>
      </c>
      <c r="C6" s="394">
        <f>C3*C5</f>
        <v>0</v>
      </c>
    </row>
    <row r="7" spans="1:4">
      <c r="B7" s="395" t="s">
        <v>220</v>
      </c>
      <c r="C7" s="396">
        <f>C3+C6</f>
        <v>0</v>
      </c>
    </row>
  </sheetData>
  <sheetProtection algorithmName="SHA-512" hashValue="J59jBrZyjMI3p27s1P5I8g4yzuz/7SBAUKQYJQXAe8HciwcFUarVddlWoaKYNDEF3bhHNmNMFQfoSA5xR7gyWw==" saltValue="zg3VL0tC8OHHl2sC9DbTIQ==" spinCount="100000" sheet="1" scenarios="1" selectLockedCells="1" selectUnlockedCells="1"/>
  <printOptions horizontalCentered="1"/>
  <pageMargins left="0.25" right="0.25" top="0.75" bottom="0.75" header="0.3" footer="0.3"/>
  <pageSetup orientation="portrait" horizontalDpi="1200" verticalDpi="1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5EAAE-88A2-C84D-B45D-69676DCB2014}">
  <sheetPr codeName="Sheet8">
    <tabColor rgb="FF7C6992"/>
  </sheetPr>
  <dimension ref="A1:G221"/>
  <sheetViews>
    <sheetView topLeftCell="A4" zoomScaleNormal="100" workbookViewId="0">
      <selection activeCell="A4" sqref="A4"/>
    </sheetView>
  </sheetViews>
  <sheetFormatPr baseColWidth="10" defaultColWidth="10.59765625" defaultRowHeight="15"/>
  <cols>
    <col min="1" max="1" width="3.19921875" style="328" customWidth="1"/>
    <col min="2" max="2" width="10.59765625" style="328"/>
    <col min="3" max="3" width="33.19921875" style="328" customWidth="1"/>
    <col min="4" max="4" width="20.19921875" style="328" customWidth="1"/>
    <col min="5" max="5" width="10.59765625" style="328"/>
    <col min="6" max="6" width="21.796875" style="328" customWidth="1"/>
    <col min="7" max="7" width="10.59765625" style="328" customWidth="1"/>
    <col min="8" max="16384" width="10.59765625" style="328"/>
  </cols>
  <sheetData>
    <row r="1" spans="1:7" hidden="1">
      <c r="C1" s="346">
        <v>44713</v>
      </c>
    </row>
    <row r="2" spans="1:7" hidden="1"/>
    <row r="3" spans="1:7" hidden="1"/>
    <row r="4" spans="1:7" ht="18">
      <c r="A4" s="347" t="s">
        <v>264</v>
      </c>
    </row>
    <row r="6" spans="1:7">
      <c r="B6" s="351">
        <v>44927</v>
      </c>
      <c r="C6" s="352">
        <v>0.08</v>
      </c>
      <c r="D6" s="353"/>
      <c r="F6" s="348">
        <v>0.08</v>
      </c>
      <c r="G6" s="348">
        <v>0.04</v>
      </c>
    </row>
    <row r="7" spans="1:7">
      <c r="B7" s="354">
        <v>44958</v>
      </c>
      <c r="C7" s="359">
        <f>C6+D7</f>
        <v>9.4399999999999998E-2</v>
      </c>
      <c r="D7" s="360">
        <f>(1+C6)*F8</f>
        <v>1.4400000000000001E-2</v>
      </c>
      <c r="F7" s="328">
        <v>6</v>
      </c>
      <c r="G7" s="328">
        <v>6</v>
      </c>
    </row>
    <row r="8" spans="1:7">
      <c r="B8" s="354">
        <v>44986</v>
      </c>
      <c r="C8" s="355">
        <f>C7+D8</f>
        <v>0.10899200000000001</v>
      </c>
      <c r="D8" s="360">
        <f>(1+C7)*$F$8</f>
        <v>1.4592000000000001E-2</v>
      </c>
      <c r="F8" s="349">
        <f>F6/F7</f>
        <v>1.3333333333333334E-2</v>
      </c>
      <c r="G8" s="349">
        <f>G6/G7</f>
        <v>6.6666666666666671E-3</v>
      </c>
    </row>
    <row r="9" spans="1:7">
      <c r="B9" s="354">
        <v>45017</v>
      </c>
      <c r="C9" s="355">
        <f>C8+D9</f>
        <v>0.12377856000000001</v>
      </c>
      <c r="D9" s="360">
        <f t="shared" ref="D9:D10" si="0">(1+C8)*$F$8</f>
        <v>1.4786560000000001E-2</v>
      </c>
    </row>
    <row r="10" spans="1:7">
      <c r="B10" s="354">
        <v>45047</v>
      </c>
      <c r="C10" s="355">
        <f t="shared" ref="C10:C47" si="1">C9+D10</f>
        <v>0.13876227413333334</v>
      </c>
      <c r="D10" s="360">
        <f t="shared" si="0"/>
        <v>1.4983714133333336E-2</v>
      </c>
    </row>
    <row r="11" spans="1:7">
      <c r="B11" s="356">
        <v>45078</v>
      </c>
      <c r="C11" s="357">
        <f t="shared" si="1"/>
        <v>0.15394577112177779</v>
      </c>
      <c r="D11" s="361">
        <f>(1+C10)*$F$8</f>
        <v>1.5183496988444447E-2</v>
      </c>
    </row>
    <row r="12" spans="1:7">
      <c r="B12" s="351">
        <v>45108</v>
      </c>
      <c r="C12" s="358">
        <f t="shared" si="1"/>
        <v>0.16933171473673483</v>
      </c>
      <c r="D12" s="362">
        <f t="shared" ref="D12:D17" si="2">(1+C11)*$F$8</f>
        <v>1.5385943614957038E-2</v>
      </c>
    </row>
    <row r="13" spans="1:7">
      <c r="B13" s="354">
        <v>45139</v>
      </c>
      <c r="C13" s="355">
        <f t="shared" si="1"/>
        <v>0.18492280426655797</v>
      </c>
      <c r="D13" s="360">
        <f t="shared" si="2"/>
        <v>1.5591089529823132E-2</v>
      </c>
    </row>
    <row r="14" spans="1:7">
      <c r="B14" s="354">
        <v>45170</v>
      </c>
      <c r="C14" s="355">
        <f t="shared" si="1"/>
        <v>0.20072177499011207</v>
      </c>
      <c r="D14" s="360">
        <f t="shared" si="2"/>
        <v>1.5798970723554108E-2</v>
      </c>
    </row>
    <row r="15" spans="1:7">
      <c r="B15" s="354">
        <v>45200</v>
      </c>
      <c r="C15" s="355">
        <f t="shared" si="1"/>
        <v>0.2167313986566469</v>
      </c>
      <c r="D15" s="360">
        <f t="shared" si="2"/>
        <v>1.6009623666534828E-2</v>
      </c>
    </row>
    <row r="16" spans="1:7">
      <c r="B16" s="354">
        <v>45231</v>
      </c>
      <c r="C16" s="355">
        <f t="shared" si="1"/>
        <v>0.23295448397206886</v>
      </c>
      <c r="D16" s="360">
        <f t="shared" si="2"/>
        <v>1.6223085315421958E-2</v>
      </c>
    </row>
    <row r="17" spans="2:6">
      <c r="B17" s="356">
        <v>45261</v>
      </c>
      <c r="C17" s="357">
        <f t="shared" si="1"/>
        <v>0.24939387709169644</v>
      </c>
      <c r="D17" s="361">
        <f t="shared" si="2"/>
        <v>1.6439393119627586E-2</v>
      </c>
    </row>
    <row r="18" spans="2:6">
      <c r="B18" s="351">
        <v>45292</v>
      </c>
      <c r="C18" s="358">
        <f t="shared" si="1"/>
        <v>0.25772316960564107</v>
      </c>
      <c r="D18" s="362">
        <f>(1+C17)*$G$8</f>
        <v>8.3292925139446423E-3</v>
      </c>
      <c r="F18" s="502"/>
    </row>
    <row r="19" spans="2:6">
      <c r="B19" s="354">
        <v>45323</v>
      </c>
      <c r="C19" s="355">
        <f t="shared" si="1"/>
        <v>0.26610799073634533</v>
      </c>
      <c r="D19" s="360">
        <f t="shared" ref="D19:D47" si="3">(1+C18)*$G$8</f>
        <v>8.3848211307042744E-3</v>
      </c>
      <c r="F19" s="350"/>
    </row>
    <row r="20" spans="2:6">
      <c r="B20" s="354">
        <v>45352</v>
      </c>
      <c r="C20" s="355">
        <f t="shared" si="1"/>
        <v>0.27454871067458764</v>
      </c>
      <c r="D20" s="360">
        <f t="shared" si="3"/>
        <v>8.4407199382423026E-3</v>
      </c>
      <c r="F20" s="350"/>
    </row>
    <row r="21" spans="2:6">
      <c r="B21" s="354">
        <v>45383</v>
      </c>
      <c r="C21" s="355">
        <f t="shared" si="1"/>
        <v>0.28304570207908492</v>
      </c>
      <c r="D21" s="360">
        <f t="shared" si="3"/>
        <v>8.4969914044972523E-3</v>
      </c>
    </row>
    <row r="22" spans="2:6">
      <c r="B22" s="354">
        <v>45413</v>
      </c>
      <c r="C22" s="355">
        <f t="shared" si="1"/>
        <v>0.29159934009294547</v>
      </c>
      <c r="D22" s="360">
        <f t="shared" si="3"/>
        <v>8.553638013860566E-3</v>
      </c>
    </row>
    <row r="23" spans="2:6">
      <c r="B23" s="356">
        <v>45444</v>
      </c>
      <c r="C23" s="357">
        <f t="shared" si="1"/>
        <v>0.30021000236023176</v>
      </c>
      <c r="D23" s="361">
        <f t="shared" si="3"/>
        <v>8.610662267286304E-3</v>
      </c>
    </row>
    <row r="24" spans="2:6">
      <c r="B24" s="351">
        <v>45474</v>
      </c>
      <c r="C24" s="358">
        <f t="shared" si="1"/>
        <v>0.30887806904263332</v>
      </c>
      <c r="D24" s="362">
        <f t="shared" si="3"/>
        <v>8.668066682401547E-3</v>
      </c>
    </row>
    <row r="25" spans="2:6">
      <c r="B25" s="354">
        <v>45505</v>
      </c>
      <c r="C25" s="355">
        <f t="shared" si="1"/>
        <v>0.31760392283625088</v>
      </c>
      <c r="D25" s="360">
        <f t="shared" si="3"/>
        <v>8.7258537936175558E-3</v>
      </c>
    </row>
    <row r="26" spans="2:6">
      <c r="B26" s="354">
        <v>45536</v>
      </c>
      <c r="C26" s="355">
        <f t="shared" si="1"/>
        <v>0.32638794898849255</v>
      </c>
      <c r="D26" s="360">
        <f t="shared" si="3"/>
        <v>8.7840261522416727E-3</v>
      </c>
    </row>
    <row r="27" spans="2:6">
      <c r="B27" s="354">
        <v>45566</v>
      </c>
      <c r="C27" s="355">
        <f t="shared" si="1"/>
        <v>0.33523053531508251</v>
      </c>
      <c r="D27" s="360">
        <f t="shared" si="3"/>
        <v>8.8425863265899525E-3</v>
      </c>
    </row>
    <row r="28" spans="2:6">
      <c r="B28" s="354">
        <v>45597</v>
      </c>
      <c r="C28" s="355">
        <f t="shared" si="1"/>
        <v>0.34413207221718306</v>
      </c>
      <c r="D28" s="360">
        <f t="shared" si="3"/>
        <v>8.9015369021005521E-3</v>
      </c>
    </row>
    <row r="29" spans="2:6">
      <c r="B29" s="356">
        <v>45627</v>
      </c>
      <c r="C29" s="357">
        <f t="shared" si="1"/>
        <v>0.35309295269863095</v>
      </c>
      <c r="D29" s="361">
        <f t="shared" si="3"/>
        <v>8.9608804814478877E-3</v>
      </c>
      <c r="E29" s="355"/>
      <c r="F29" s="501"/>
    </row>
    <row r="30" spans="2:6">
      <c r="B30" s="351">
        <v>45658</v>
      </c>
      <c r="C30" s="358">
        <f t="shared" si="1"/>
        <v>0.36211357238328851</v>
      </c>
      <c r="D30" s="362">
        <f t="shared" si="3"/>
        <v>9.0206196846575395E-3</v>
      </c>
    </row>
    <row r="31" spans="2:6">
      <c r="B31" s="354">
        <v>45689</v>
      </c>
      <c r="C31" s="355">
        <f t="shared" si="1"/>
        <v>0.37119432953251041</v>
      </c>
      <c r="D31" s="360">
        <f t="shared" si="3"/>
        <v>9.0807571492219231E-3</v>
      </c>
    </row>
    <row r="32" spans="2:6">
      <c r="B32" s="354">
        <v>45717</v>
      </c>
      <c r="C32" s="355">
        <f t="shared" si="1"/>
        <v>0.38033562506272717</v>
      </c>
      <c r="D32" s="360">
        <f t="shared" si="3"/>
        <v>9.1412955302167375E-3</v>
      </c>
    </row>
    <row r="33" spans="2:6">
      <c r="B33" s="354">
        <v>45748</v>
      </c>
      <c r="C33" s="355">
        <f t="shared" si="1"/>
        <v>0.38953786256314538</v>
      </c>
      <c r="D33" s="360">
        <f t="shared" si="3"/>
        <v>9.2022375004181829E-3</v>
      </c>
    </row>
    <row r="34" spans="2:6">
      <c r="B34" s="354">
        <v>45778</v>
      </c>
      <c r="C34" s="355">
        <f t="shared" si="1"/>
        <v>0.39880144831356634</v>
      </c>
      <c r="D34" s="360">
        <f t="shared" si="3"/>
        <v>9.2635857504209697E-3</v>
      </c>
    </row>
    <row r="35" spans="2:6">
      <c r="B35" s="356">
        <v>45809</v>
      </c>
      <c r="C35" s="357">
        <f t="shared" si="1"/>
        <v>0.40812679130232343</v>
      </c>
      <c r="D35" s="361">
        <f t="shared" si="3"/>
        <v>9.3253429887571095E-3</v>
      </c>
    </row>
    <row r="36" spans="2:6">
      <c r="B36" s="351">
        <v>45839</v>
      </c>
      <c r="C36" s="358">
        <f t="shared" si="1"/>
        <v>0.41751430324433891</v>
      </c>
      <c r="D36" s="362">
        <f t="shared" si="3"/>
        <v>9.3875119420154893E-3</v>
      </c>
    </row>
    <row r="37" spans="2:6">
      <c r="B37" s="354">
        <v>45870</v>
      </c>
      <c r="C37" s="355">
        <f t="shared" si="1"/>
        <v>0.42696439859930119</v>
      </c>
      <c r="D37" s="360">
        <f t="shared" si="3"/>
        <v>9.4500953549622596E-3</v>
      </c>
    </row>
    <row r="38" spans="2:6">
      <c r="B38" s="354">
        <v>45901</v>
      </c>
      <c r="C38" s="355">
        <f t="shared" si="1"/>
        <v>0.43647749458996321</v>
      </c>
      <c r="D38" s="360">
        <f t="shared" si="3"/>
        <v>9.5130959906620082E-3</v>
      </c>
    </row>
    <row r="39" spans="2:6">
      <c r="B39" s="354">
        <v>45931</v>
      </c>
      <c r="C39" s="355">
        <f t="shared" si="1"/>
        <v>0.44605401122056298</v>
      </c>
      <c r="D39" s="360">
        <f t="shared" si="3"/>
        <v>9.5765166305997549E-3</v>
      </c>
    </row>
    <row r="40" spans="2:6">
      <c r="B40" s="354">
        <v>45962</v>
      </c>
      <c r="C40" s="355">
        <f t="shared" si="1"/>
        <v>0.45569437129536672</v>
      </c>
      <c r="D40" s="360">
        <f t="shared" si="3"/>
        <v>9.6403600748037523E-3</v>
      </c>
    </row>
    <row r="41" spans="2:6">
      <c r="B41" s="354">
        <v>45992</v>
      </c>
      <c r="C41" s="355">
        <f t="shared" si="1"/>
        <v>0.46539900043733584</v>
      </c>
      <c r="D41" s="360">
        <f t="shared" si="3"/>
        <v>9.7046291419691129E-3</v>
      </c>
      <c r="E41" s="355"/>
      <c r="F41" s="501"/>
    </row>
    <row r="42" spans="2:6">
      <c r="B42" s="351">
        <v>46023</v>
      </c>
      <c r="C42" s="358">
        <f t="shared" si="1"/>
        <v>0.47516832710691809</v>
      </c>
      <c r="D42" s="362">
        <f t="shared" si="3"/>
        <v>9.7693266695822404E-3</v>
      </c>
    </row>
    <row r="43" spans="2:6">
      <c r="B43" s="354">
        <v>46054</v>
      </c>
      <c r="C43" s="355">
        <f t="shared" si="1"/>
        <v>0.48500278262096419</v>
      </c>
      <c r="D43" s="360">
        <f t="shared" si="3"/>
        <v>9.8344555140461205E-3</v>
      </c>
    </row>
    <row r="44" spans="2:6">
      <c r="B44" s="354">
        <v>46082</v>
      </c>
      <c r="C44" s="355">
        <f t="shared" si="1"/>
        <v>0.4949028011717706</v>
      </c>
      <c r="D44" s="360">
        <f t="shared" si="3"/>
        <v>9.9000185508064283E-3</v>
      </c>
    </row>
    <row r="45" spans="2:6">
      <c r="B45" s="354">
        <v>46113</v>
      </c>
      <c r="C45" s="355">
        <f t="shared" si="1"/>
        <v>0.5048688198462491</v>
      </c>
      <c r="D45" s="360">
        <f t="shared" si="3"/>
        <v>9.9660186744784714E-3</v>
      </c>
    </row>
    <row r="46" spans="2:6">
      <c r="B46" s="354">
        <v>46143</v>
      </c>
      <c r="C46" s="355">
        <f t="shared" si="1"/>
        <v>0.51490127864522406</v>
      </c>
      <c r="D46" s="360">
        <f t="shared" si="3"/>
        <v>1.0032458798974995E-2</v>
      </c>
    </row>
    <row r="47" spans="2:6">
      <c r="B47" s="356">
        <v>46174</v>
      </c>
      <c r="C47" s="357">
        <f t="shared" si="1"/>
        <v>0.52500062050285889</v>
      </c>
      <c r="D47" s="361">
        <f t="shared" si="3"/>
        <v>1.0099341857634827E-2</v>
      </c>
    </row>
    <row r="48" spans="2:6">
      <c r="B48" s="351">
        <v>46204</v>
      </c>
      <c r="C48" s="358">
        <f t="shared" ref="C48:C89" si="4">C47+D48</f>
        <v>0.53516729130621132</v>
      </c>
      <c r="D48" s="362">
        <f t="shared" ref="D48:D89" si="5">(1+C47)*$G$8</f>
        <v>1.0166670803352392E-2</v>
      </c>
    </row>
    <row r="49" spans="2:6">
      <c r="B49" s="354">
        <v>46235</v>
      </c>
      <c r="C49" s="355">
        <f t="shared" si="4"/>
        <v>0.54540173991491936</v>
      </c>
      <c r="D49" s="360">
        <f t="shared" si="5"/>
        <v>1.0234448608708075E-2</v>
      </c>
    </row>
    <row r="50" spans="2:6">
      <c r="B50" s="354">
        <v>46266</v>
      </c>
      <c r="C50" s="355">
        <f t="shared" si="4"/>
        <v>0.55570441818101879</v>
      </c>
      <c r="D50" s="360">
        <f t="shared" si="5"/>
        <v>1.0302678266099463E-2</v>
      </c>
    </row>
    <row r="51" spans="2:6">
      <c r="B51" s="354">
        <v>46296</v>
      </c>
      <c r="C51" s="355">
        <f t="shared" si="4"/>
        <v>0.56607578096889222</v>
      </c>
      <c r="D51" s="360">
        <f t="shared" si="5"/>
        <v>1.0371362787873458E-2</v>
      </c>
    </row>
    <row r="52" spans="2:6">
      <c r="B52" s="354">
        <v>46327</v>
      </c>
      <c r="C52" s="355">
        <f t="shared" si="4"/>
        <v>0.57651628617535144</v>
      </c>
      <c r="D52" s="360">
        <f t="shared" si="5"/>
        <v>1.0440505206459283E-2</v>
      </c>
    </row>
    <row r="53" spans="2:6">
      <c r="B53" s="356">
        <v>46357</v>
      </c>
      <c r="C53" s="357">
        <f t="shared" si="4"/>
        <v>0.58702639474985374</v>
      </c>
      <c r="D53" s="361">
        <f t="shared" si="5"/>
        <v>1.0510108574502344E-2</v>
      </c>
      <c r="E53" s="355"/>
      <c r="F53" s="501"/>
    </row>
    <row r="54" spans="2:6">
      <c r="B54" s="351">
        <v>46388</v>
      </c>
      <c r="C54" s="358">
        <f t="shared" si="4"/>
        <v>0.59760657071485279</v>
      </c>
      <c r="D54" s="362">
        <f t="shared" si="5"/>
        <v>1.0580175964999026E-2</v>
      </c>
    </row>
    <row r="55" spans="2:6">
      <c r="B55" s="354">
        <v>46419</v>
      </c>
      <c r="C55" s="355">
        <f t="shared" si="4"/>
        <v>0.60825728118628519</v>
      </c>
      <c r="D55" s="360">
        <f t="shared" si="5"/>
        <v>1.0650710471432352E-2</v>
      </c>
    </row>
    <row r="56" spans="2:6">
      <c r="B56" s="354">
        <v>46447</v>
      </c>
      <c r="C56" s="355">
        <f t="shared" si="4"/>
        <v>0.61897899639419374</v>
      </c>
      <c r="D56" s="360">
        <f t="shared" si="5"/>
        <v>1.0721715207908569E-2</v>
      </c>
    </row>
    <row r="57" spans="2:6">
      <c r="B57" s="354">
        <v>46478</v>
      </c>
      <c r="C57" s="355">
        <f t="shared" si="4"/>
        <v>0.62977218970348836</v>
      </c>
      <c r="D57" s="360">
        <f t="shared" si="5"/>
        <v>1.0793193309294624E-2</v>
      </c>
    </row>
    <row r="58" spans="2:6">
      <c r="B58" s="354">
        <v>46508</v>
      </c>
      <c r="C58" s="355">
        <f t="shared" si="4"/>
        <v>0.64063733763484498</v>
      </c>
      <c r="D58" s="360">
        <f t="shared" si="5"/>
        <v>1.0865147931356591E-2</v>
      </c>
    </row>
    <row r="59" spans="2:6">
      <c r="B59" s="356">
        <v>46539</v>
      </c>
      <c r="C59" s="357">
        <f t="shared" si="4"/>
        <v>0.6515749198857439</v>
      </c>
      <c r="D59" s="361">
        <f t="shared" si="5"/>
        <v>1.0937582250898966E-2</v>
      </c>
    </row>
    <row r="60" spans="2:6">
      <c r="B60" s="351">
        <v>46569</v>
      </c>
      <c r="C60" s="358">
        <f t="shared" si="4"/>
        <v>0.66258541935164883</v>
      </c>
      <c r="D60" s="362">
        <f t="shared" si="5"/>
        <v>1.101049946590496E-2</v>
      </c>
    </row>
    <row r="61" spans="2:6">
      <c r="B61" s="354">
        <v>46600</v>
      </c>
      <c r="C61" s="355">
        <f t="shared" si="4"/>
        <v>0.67366932214732644</v>
      </c>
      <c r="D61" s="360">
        <f t="shared" si="5"/>
        <v>1.1083902795677661E-2</v>
      </c>
    </row>
    <row r="62" spans="2:6">
      <c r="B62" s="354">
        <v>46631</v>
      </c>
      <c r="C62" s="355">
        <f t="shared" si="4"/>
        <v>0.68482711762830861</v>
      </c>
      <c r="D62" s="360">
        <f t="shared" si="5"/>
        <v>1.1157795480982178E-2</v>
      </c>
    </row>
    <row r="63" spans="2:6">
      <c r="B63" s="354">
        <v>46661</v>
      </c>
      <c r="C63" s="355">
        <f t="shared" si="4"/>
        <v>0.69605929841249736</v>
      </c>
      <c r="D63" s="360">
        <f t="shared" si="5"/>
        <v>1.1232180784188726E-2</v>
      </c>
    </row>
    <row r="64" spans="2:6">
      <c r="B64" s="354">
        <v>46692</v>
      </c>
      <c r="C64" s="355">
        <f t="shared" si="4"/>
        <v>0.70736636040191403</v>
      </c>
      <c r="D64" s="360">
        <f t="shared" si="5"/>
        <v>1.130706198941665E-2</v>
      </c>
    </row>
    <row r="65" spans="2:4">
      <c r="B65" s="356">
        <v>46722</v>
      </c>
      <c r="C65" s="357">
        <f t="shared" si="4"/>
        <v>0.71874880280459341</v>
      </c>
      <c r="D65" s="361">
        <f t="shared" si="5"/>
        <v>1.1382442402679428E-2</v>
      </c>
    </row>
    <row r="66" spans="2:4">
      <c r="B66" s="351">
        <v>46753</v>
      </c>
      <c r="C66" s="358">
        <f t="shared" si="4"/>
        <v>0.73020712815662403</v>
      </c>
      <c r="D66" s="362">
        <f t="shared" si="5"/>
        <v>1.1458325352030624E-2</v>
      </c>
    </row>
    <row r="67" spans="2:4">
      <c r="B67" s="354">
        <v>46784</v>
      </c>
      <c r="C67" s="355">
        <f t="shared" si="4"/>
        <v>0.74174184234433482</v>
      </c>
      <c r="D67" s="360">
        <f t="shared" si="5"/>
        <v>1.1534714187710828E-2</v>
      </c>
    </row>
    <row r="68" spans="2:4">
      <c r="B68" s="354">
        <v>46813</v>
      </c>
      <c r="C68" s="355">
        <f t="shared" si="4"/>
        <v>0.75335345462663039</v>
      </c>
      <c r="D68" s="360">
        <f t="shared" si="5"/>
        <v>1.1611612282295567E-2</v>
      </c>
    </row>
    <row r="69" spans="2:4">
      <c r="B69" s="354">
        <v>46844</v>
      </c>
      <c r="C69" s="355">
        <f t="shared" si="4"/>
        <v>0.76504247765747457</v>
      </c>
      <c r="D69" s="360">
        <f t="shared" si="5"/>
        <v>1.1689023030844202E-2</v>
      </c>
    </row>
    <row r="70" spans="2:4">
      <c r="B70" s="354">
        <v>46874</v>
      </c>
      <c r="C70" s="355">
        <f t="shared" si="4"/>
        <v>0.77680942750852444</v>
      </c>
      <c r="D70" s="360">
        <f t="shared" si="5"/>
        <v>1.1766949851049832E-2</v>
      </c>
    </row>
    <row r="71" spans="2:4">
      <c r="B71" s="356">
        <v>46905</v>
      </c>
      <c r="C71" s="357">
        <f t="shared" si="4"/>
        <v>0.78865482369191464</v>
      </c>
      <c r="D71" s="361">
        <f t="shared" si="5"/>
        <v>1.1845396183390164E-2</v>
      </c>
    </row>
    <row r="72" spans="2:4">
      <c r="B72" s="351">
        <v>46935</v>
      </c>
      <c r="C72" s="358">
        <f t="shared" si="4"/>
        <v>0.80057918918319404</v>
      </c>
      <c r="D72" s="362">
        <f t="shared" si="5"/>
        <v>1.1924365491279431E-2</v>
      </c>
    </row>
    <row r="73" spans="2:4">
      <c r="B73" s="354">
        <v>46966</v>
      </c>
      <c r="C73" s="355">
        <f t="shared" si="4"/>
        <v>0.81258305044441537</v>
      </c>
      <c r="D73" s="360">
        <f t="shared" si="5"/>
        <v>1.2003861261221294E-2</v>
      </c>
    </row>
    <row r="74" spans="2:4">
      <c r="B74" s="354">
        <v>46997</v>
      </c>
      <c r="C74" s="355">
        <f t="shared" si="4"/>
        <v>0.82466693744737818</v>
      </c>
      <c r="D74" s="360">
        <f t="shared" si="5"/>
        <v>1.208388700296277E-2</v>
      </c>
    </row>
    <row r="75" spans="2:4">
      <c r="B75" s="354">
        <v>47027</v>
      </c>
      <c r="C75" s="355">
        <f t="shared" si="4"/>
        <v>0.83683138369702736</v>
      </c>
      <c r="D75" s="360">
        <f t="shared" si="5"/>
        <v>1.2164446249649187E-2</v>
      </c>
    </row>
    <row r="76" spans="2:4">
      <c r="B76" s="354">
        <v>47058</v>
      </c>
      <c r="C76" s="355">
        <f t="shared" si="4"/>
        <v>0.84907692625500752</v>
      </c>
      <c r="D76" s="360">
        <f t="shared" si="5"/>
        <v>1.2245542557980183E-2</v>
      </c>
    </row>
    <row r="77" spans="2:4">
      <c r="B77" s="356">
        <v>47088</v>
      </c>
      <c r="C77" s="357">
        <f t="shared" si="4"/>
        <v>0.86140410576337423</v>
      </c>
      <c r="D77" s="361">
        <f t="shared" si="5"/>
        <v>1.2327179508366717E-2</v>
      </c>
    </row>
    <row r="78" spans="2:4">
      <c r="B78" s="351">
        <v>47119</v>
      </c>
      <c r="C78" s="358">
        <f t="shared" si="4"/>
        <v>0.87381346646846336</v>
      </c>
      <c r="D78" s="362">
        <f t="shared" si="5"/>
        <v>1.2409360705089164E-2</v>
      </c>
    </row>
    <row r="79" spans="2:4">
      <c r="B79" s="354">
        <v>47150</v>
      </c>
      <c r="C79" s="355">
        <f t="shared" si="4"/>
        <v>0.8863055562449198</v>
      </c>
      <c r="D79" s="360">
        <f t="shared" si="5"/>
        <v>1.2492089776456423E-2</v>
      </c>
    </row>
    <row r="80" spans="2:4">
      <c r="B80" s="354">
        <v>47178</v>
      </c>
      <c r="C80" s="355">
        <f t="shared" si="4"/>
        <v>0.89888092661988594</v>
      </c>
      <c r="D80" s="360">
        <f t="shared" si="5"/>
        <v>1.2575370374966133E-2</v>
      </c>
    </row>
    <row r="81" spans="2:4">
      <c r="B81" s="354">
        <v>47209</v>
      </c>
      <c r="C81" s="355">
        <f t="shared" si="4"/>
        <v>0.9115401327973518</v>
      </c>
      <c r="D81" s="360">
        <f t="shared" si="5"/>
        <v>1.2659206177465906E-2</v>
      </c>
    </row>
    <row r="82" spans="2:4">
      <c r="B82" s="354">
        <v>47239</v>
      </c>
      <c r="C82" s="355">
        <f t="shared" si="4"/>
        <v>0.92428373368266747</v>
      </c>
      <c r="D82" s="360">
        <f t="shared" si="5"/>
        <v>1.2743600885315679E-2</v>
      </c>
    </row>
    <row r="83" spans="2:4">
      <c r="B83" s="354">
        <v>47270</v>
      </c>
      <c r="C83" s="355">
        <f t="shared" si="4"/>
        <v>0.93711229190721856</v>
      </c>
      <c r="D83" s="360">
        <f t="shared" si="5"/>
        <v>1.2828558224551118E-2</v>
      </c>
    </row>
    <row r="84" spans="2:4">
      <c r="B84" s="351">
        <v>47300</v>
      </c>
      <c r="C84" s="358">
        <f t="shared" si="4"/>
        <v>0.95002637385326671</v>
      </c>
      <c r="D84" s="362">
        <f t="shared" si="5"/>
        <v>1.2914081946048124E-2</v>
      </c>
    </row>
    <row r="85" spans="2:4">
      <c r="B85" s="354">
        <v>47331</v>
      </c>
      <c r="C85" s="355">
        <f t="shared" si="4"/>
        <v>0.96302654967895518</v>
      </c>
      <c r="D85" s="360">
        <f t="shared" si="5"/>
        <v>1.3000175825688446E-2</v>
      </c>
    </row>
    <row r="86" spans="2:4">
      <c r="B86" s="354">
        <v>47362</v>
      </c>
      <c r="C86" s="355">
        <f t="shared" si="4"/>
        <v>0.97611339334348157</v>
      </c>
      <c r="D86" s="360">
        <f t="shared" si="5"/>
        <v>1.3086843664526369E-2</v>
      </c>
    </row>
    <row r="87" spans="2:4">
      <c r="B87" s="354">
        <v>47392</v>
      </c>
      <c r="C87" s="355">
        <f t="shared" si="4"/>
        <v>0.98928748263243815</v>
      </c>
      <c r="D87" s="360">
        <f t="shared" si="5"/>
        <v>1.3174089288956544E-2</v>
      </c>
    </row>
    <row r="88" spans="2:4">
      <c r="B88" s="354">
        <v>47423</v>
      </c>
      <c r="C88" s="355">
        <f t="shared" si="4"/>
        <v>1.002549399183321</v>
      </c>
      <c r="D88" s="360">
        <f t="shared" si="5"/>
        <v>1.3261916550882921E-2</v>
      </c>
    </row>
    <row r="89" spans="2:4">
      <c r="B89" s="356">
        <v>47453</v>
      </c>
      <c r="C89" s="357">
        <f t="shared" si="4"/>
        <v>1.0158997285112097</v>
      </c>
      <c r="D89" s="361">
        <f t="shared" si="5"/>
        <v>1.3350329327888809E-2</v>
      </c>
    </row>
    <row r="90" spans="2:4">
      <c r="B90" s="351">
        <v>47484</v>
      </c>
      <c r="C90" s="358">
        <f t="shared" ref="C90:C153" si="6">C89+D90</f>
        <v>1.0293390600346177</v>
      </c>
      <c r="D90" s="362">
        <f t="shared" ref="D90:D153" si="7">(1+C89)*$G$8</f>
        <v>1.3439331523408066E-2</v>
      </c>
    </row>
    <row r="91" spans="2:4">
      <c r="B91" s="354">
        <v>47515</v>
      </c>
      <c r="C91" s="355">
        <f t="shared" si="6"/>
        <v>1.0428679871015152</v>
      </c>
      <c r="D91" s="360">
        <f t="shared" si="7"/>
        <v>1.3528927066897451E-2</v>
      </c>
    </row>
    <row r="92" spans="2:4">
      <c r="B92" s="354">
        <v>47543</v>
      </c>
      <c r="C92" s="355">
        <f t="shared" si="6"/>
        <v>1.0564871070155253</v>
      </c>
      <c r="D92" s="360">
        <f t="shared" si="7"/>
        <v>1.3619119914010104E-2</v>
      </c>
    </row>
    <row r="93" spans="2:4">
      <c r="B93" s="354">
        <v>47574</v>
      </c>
      <c r="C93" s="355">
        <f t="shared" si="6"/>
        <v>1.0701970210622955</v>
      </c>
      <c r="D93" s="360">
        <f t="shared" si="7"/>
        <v>1.3709914046770168E-2</v>
      </c>
    </row>
    <row r="94" spans="2:4">
      <c r="B94" s="354">
        <v>47604</v>
      </c>
      <c r="C94" s="355">
        <f t="shared" si="6"/>
        <v>1.0839983345360442</v>
      </c>
      <c r="D94" s="360">
        <f t="shared" si="7"/>
        <v>1.3801313473748637E-2</v>
      </c>
    </row>
    <row r="95" spans="2:4">
      <c r="B95" s="354">
        <v>47635</v>
      </c>
      <c r="C95" s="355">
        <f t="shared" si="6"/>
        <v>1.0978916567662844</v>
      </c>
      <c r="D95" s="360">
        <f t="shared" si="7"/>
        <v>1.3893322230240297E-2</v>
      </c>
    </row>
    <row r="96" spans="2:4">
      <c r="B96" s="351">
        <v>47665</v>
      </c>
      <c r="C96" s="358">
        <f t="shared" si="6"/>
        <v>1.1118776011447262</v>
      </c>
      <c r="D96" s="362">
        <f t="shared" si="7"/>
        <v>1.3985944378441898E-2</v>
      </c>
    </row>
    <row r="97" spans="2:4">
      <c r="B97" s="354">
        <v>47696</v>
      </c>
      <c r="C97" s="355">
        <f t="shared" si="6"/>
        <v>1.1259567851523578</v>
      </c>
      <c r="D97" s="360">
        <f t="shared" si="7"/>
        <v>1.407918400763151E-2</v>
      </c>
    </row>
    <row r="98" spans="2:4">
      <c r="B98" s="354">
        <v>47727</v>
      </c>
      <c r="C98" s="355">
        <f t="shared" si="6"/>
        <v>1.1401298303867069</v>
      </c>
      <c r="D98" s="360">
        <f t="shared" si="7"/>
        <v>1.4173045234349053E-2</v>
      </c>
    </row>
    <row r="99" spans="2:4">
      <c r="B99" s="354">
        <v>47757</v>
      </c>
      <c r="C99" s="355">
        <f t="shared" si="6"/>
        <v>1.1543973625892849</v>
      </c>
      <c r="D99" s="360">
        <f t="shared" si="7"/>
        <v>1.4267532202578048E-2</v>
      </c>
    </row>
    <row r="100" spans="2:4">
      <c r="B100" s="354">
        <v>47788</v>
      </c>
      <c r="C100" s="355">
        <f t="shared" si="6"/>
        <v>1.1687600116732135</v>
      </c>
      <c r="D100" s="360">
        <f t="shared" si="7"/>
        <v>1.4362649083928569E-2</v>
      </c>
    </row>
    <row r="101" spans="2:4">
      <c r="B101" s="356">
        <v>47818</v>
      </c>
      <c r="C101" s="357">
        <f t="shared" si="6"/>
        <v>1.1832184117510349</v>
      </c>
      <c r="D101" s="361">
        <f t="shared" si="7"/>
        <v>1.4458400077821423E-2</v>
      </c>
    </row>
    <row r="102" spans="2:4">
      <c r="B102" s="351">
        <v>47849</v>
      </c>
      <c r="C102" s="358">
        <f t="shared" si="6"/>
        <v>1.1977732011627085</v>
      </c>
      <c r="D102" s="362">
        <f t="shared" si="7"/>
        <v>1.4554789411673569E-2</v>
      </c>
    </row>
    <row r="103" spans="2:4">
      <c r="B103" s="354">
        <v>47880</v>
      </c>
      <c r="C103" s="355">
        <f t="shared" si="6"/>
        <v>1.2124250225037931</v>
      </c>
      <c r="D103" s="360">
        <f t="shared" si="7"/>
        <v>1.4651821341084724E-2</v>
      </c>
    </row>
    <row r="104" spans="2:4">
      <c r="B104" s="354">
        <v>47908</v>
      </c>
      <c r="C104" s="355">
        <f t="shared" si="6"/>
        <v>1.2271745226538184</v>
      </c>
      <c r="D104" s="360">
        <f t="shared" si="7"/>
        <v>1.4749500150025288E-2</v>
      </c>
    </row>
    <row r="105" spans="2:4">
      <c r="B105" s="354">
        <v>47939</v>
      </c>
      <c r="C105" s="355">
        <f t="shared" si="6"/>
        <v>1.242022352804844</v>
      </c>
      <c r="D105" s="360">
        <f t="shared" si="7"/>
        <v>1.4847830151025459E-2</v>
      </c>
    </row>
    <row r="106" spans="2:4">
      <c r="B106" s="354">
        <v>47969</v>
      </c>
      <c r="C106" s="355">
        <f t="shared" si="6"/>
        <v>1.2569691684902096</v>
      </c>
      <c r="D106" s="360">
        <f t="shared" si="7"/>
        <v>1.4946815685365628E-2</v>
      </c>
    </row>
    <row r="107" spans="2:4">
      <c r="B107" s="354">
        <v>48000</v>
      </c>
      <c r="C107" s="355">
        <f t="shared" si="6"/>
        <v>1.2720156296134777</v>
      </c>
      <c r="D107" s="360">
        <f t="shared" si="7"/>
        <v>1.5046461123268065E-2</v>
      </c>
    </row>
    <row r="108" spans="2:4">
      <c r="B108" s="351">
        <v>48030</v>
      </c>
      <c r="C108" s="358">
        <f t="shared" si="6"/>
        <v>1.2871624004775675</v>
      </c>
      <c r="D108" s="362">
        <f t="shared" si="7"/>
        <v>1.514677086408985E-2</v>
      </c>
    </row>
    <row r="109" spans="2:4">
      <c r="B109" s="354">
        <v>48061</v>
      </c>
      <c r="C109" s="355">
        <f t="shared" si="6"/>
        <v>1.3024101498140845</v>
      </c>
      <c r="D109" s="360">
        <f t="shared" si="7"/>
        <v>1.5247749336517118E-2</v>
      </c>
    </row>
    <row r="110" spans="2:4">
      <c r="B110" s="354">
        <v>48092</v>
      </c>
      <c r="C110" s="355">
        <f t="shared" si="6"/>
        <v>1.317759550812845</v>
      </c>
      <c r="D110" s="360">
        <f t="shared" si="7"/>
        <v>1.5349400998760566E-2</v>
      </c>
    </row>
    <row r="111" spans="2:4">
      <c r="B111" s="354">
        <v>48122</v>
      </c>
      <c r="C111" s="355">
        <f t="shared" si="6"/>
        <v>1.3332112811515973</v>
      </c>
      <c r="D111" s="360">
        <f t="shared" si="7"/>
        <v>1.5451730338752299E-2</v>
      </c>
    </row>
    <row r="112" spans="2:4">
      <c r="B112" s="354">
        <v>48153</v>
      </c>
      <c r="C112" s="355">
        <f t="shared" si="6"/>
        <v>1.3487660230259413</v>
      </c>
      <c r="D112" s="360">
        <f t="shared" si="7"/>
        <v>1.5554741874343985E-2</v>
      </c>
    </row>
    <row r="113" spans="2:4">
      <c r="B113" s="356">
        <v>48183</v>
      </c>
      <c r="C113" s="357">
        <f t="shared" si="6"/>
        <v>1.3644244631794475</v>
      </c>
      <c r="D113" s="361">
        <f t="shared" si="7"/>
        <v>1.5658440153506276E-2</v>
      </c>
    </row>
    <row r="114" spans="2:4">
      <c r="B114" s="351">
        <v>48214</v>
      </c>
      <c r="C114" s="358">
        <f t="shared" si="6"/>
        <v>1.3801872929339771</v>
      </c>
      <c r="D114" s="362">
        <f t="shared" si="7"/>
        <v>1.576282975452965E-2</v>
      </c>
    </row>
    <row r="115" spans="2:4">
      <c r="B115" s="354">
        <v>48245</v>
      </c>
      <c r="C115" s="355">
        <f t="shared" si="6"/>
        <v>1.3960552082202036</v>
      </c>
      <c r="D115" s="360">
        <f t="shared" si="7"/>
        <v>1.5867915286226515E-2</v>
      </c>
    </row>
    <row r="116" spans="2:4">
      <c r="B116" s="354">
        <v>48274</v>
      </c>
      <c r="C116" s="355">
        <f t="shared" si="6"/>
        <v>1.4120289096083383</v>
      </c>
      <c r="D116" s="360">
        <f t="shared" si="7"/>
        <v>1.5973701388134691E-2</v>
      </c>
    </row>
    <row r="117" spans="2:4">
      <c r="B117" s="354">
        <v>48305</v>
      </c>
      <c r="C117" s="355">
        <f t="shared" si="6"/>
        <v>1.4281091023390606</v>
      </c>
      <c r="D117" s="360">
        <f t="shared" si="7"/>
        <v>1.6080192730722257E-2</v>
      </c>
    </row>
    <row r="118" spans="2:4">
      <c r="B118" s="354">
        <v>48335</v>
      </c>
      <c r="C118" s="355">
        <f t="shared" si="6"/>
        <v>1.4442964963546543</v>
      </c>
      <c r="D118" s="360">
        <f t="shared" si="7"/>
        <v>1.6187394015593739E-2</v>
      </c>
    </row>
    <row r="119" spans="2:4">
      <c r="B119" s="354">
        <v>48366</v>
      </c>
      <c r="C119" s="355">
        <f t="shared" si="6"/>
        <v>1.460591806330352</v>
      </c>
      <c r="D119" s="360">
        <f t="shared" si="7"/>
        <v>1.6295309975697697E-2</v>
      </c>
    </row>
    <row r="120" spans="2:4">
      <c r="B120" s="351">
        <v>48396</v>
      </c>
      <c r="C120" s="358">
        <f t="shared" si="6"/>
        <v>1.4769957517058876</v>
      </c>
      <c r="D120" s="362">
        <f t="shared" si="7"/>
        <v>1.6403945375535679E-2</v>
      </c>
    </row>
    <row r="121" spans="2:4">
      <c r="B121" s="354">
        <v>48427</v>
      </c>
      <c r="C121" s="355">
        <f t="shared" si="6"/>
        <v>1.4935090567172602</v>
      </c>
      <c r="D121" s="360">
        <f t="shared" si="7"/>
        <v>1.6513305011372582E-2</v>
      </c>
    </row>
    <row r="122" spans="2:4">
      <c r="B122" s="354">
        <v>48458</v>
      </c>
      <c r="C122" s="355">
        <f t="shared" si="6"/>
        <v>1.5101324504287086</v>
      </c>
      <c r="D122" s="360">
        <f t="shared" si="7"/>
        <v>1.6623393711448404E-2</v>
      </c>
    </row>
    <row r="123" spans="2:4">
      <c r="B123" s="354">
        <v>48488</v>
      </c>
      <c r="C123" s="355">
        <f t="shared" si="6"/>
        <v>1.5268666667649</v>
      </c>
      <c r="D123" s="360">
        <f t="shared" si="7"/>
        <v>1.673421633619139E-2</v>
      </c>
    </row>
    <row r="124" spans="2:4">
      <c r="B124" s="354">
        <v>48519</v>
      </c>
      <c r="C124" s="355">
        <f t="shared" si="6"/>
        <v>1.5437124445433328</v>
      </c>
      <c r="D124" s="360">
        <f t="shared" si="7"/>
        <v>1.6845777778432668E-2</v>
      </c>
    </row>
    <row r="125" spans="2:4">
      <c r="B125" s="356">
        <v>48549</v>
      </c>
      <c r="C125" s="357">
        <f t="shared" si="6"/>
        <v>1.560670527506955</v>
      </c>
      <c r="D125" s="361">
        <f t="shared" si="7"/>
        <v>1.695808296362222E-2</v>
      </c>
    </row>
    <row r="126" spans="2:4">
      <c r="B126" s="351">
        <v>48580</v>
      </c>
      <c r="C126" s="358">
        <f t="shared" si="6"/>
        <v>1.5777416643570015</v>
      </c>
      <c r="D126" s="362">
        <f t="shared" si="7"/>
        <v>1.7071136850046367E-2</v>
      </c>
    </row>
    <row r="127" spans="2:4">
      <c r="B127" s="354">
        <v>48611</v>
      </c>
      <c r="C127" s="355">
        <f t="shared" si="6"/>
        <v>1.5949266087860481</v>
      </c>
      <c r="D127" s="360">
        <f t="shared" si="7"/>
        <v>1.7184944429046677E-2</v>
      </c>
    </row>
    <row r="128" spans="2:4">
      <c r="B128" s="354">
        <v>48639</v>
      </c>
      <c r="C128" s="355">
        <f t="shared" si="6"/>
        <v>1.6122261195112884</v>
      </c>
      <c r="D128" s="360">
        <f t="shared" si="7"/>
        <v>1.7299510725240323E-2</v>
      </c>
    </row>
    <row r="129" spans="2:4">
      <c r="B129" s="354">
        <v>48670</v>
      </c>
      <c r="C129" s="355">
        <f t="shared" si="6"/>
        <v>1.6296409603080302</v>
      </c>
      <c r="D129" s="360">
        <f t="shared" si="7"/>
        <v>1.7414840796741923E-2</v>
      </c>
    </row>
    <row r="130" spans="2:4">
      <c r="B130" s="354">
        <v>48700</v>
      </c>
      <c r="C130" s="355">
        <f t="shared" si="6"/>
        <v>1.6471719000434171</v>
      </c>
      <c r="D130" s="360">
        <f t="shared" si="7"/>
        <v>1.7530939735386868E-2</v>
      </c>
    </row>
    <row r="131" spans="2:4">
      <c r="B131" s="354">
        <v>48731</v>
      </c>
      <c r="C131" s="355">
        <f t="shared" si="6"/>
        <v>1.6648197127103732</v>
      </c>
      <c r="D131" s="360">
        <f t="shared" si="7"/>
        <v>1.7647812666956114E-2</v>
      </c>
    </row>
    <row r="132" spans="2:4">
      <c r="B132" s="351">
        <v>48761</v>
      </c>
      <c r="C132" s="358">
        <f t="shared" si="6"/>
        <v>1.6825851774617757</v>
      </c>
      <c r="D132" s="362">
        <f t="shared" si="7"/>
        <v>1.7765464751402487E-2</v>
      </c>
    </row>
    <row r="133" spans="2:4">
      <c r="B133" s="354">
        <v>48792</v>
      </c>
      <c r="C133" s="355">
        <f t="shared" si="6"/>
        <v>1.7004690786448542</v>
      </c>
      <c r="D133" s="360">
        <f t="shared" si="7"/>
        <v>1.7883901183078504E-2</v>
      </c>
    </row>
    <row r="134" spans="2:4">
      <c r="B134" s="354">
        <v>48823</v>
      </c>
      <c r="C134" s="355">
        <f t="shared" si="6"/>
        <v>1.7184722058358199</v>
      </c>
      <c r="D134" s="360">
        <f t="shared" si="7"/>
        <v>1.8003127190965695E-2</v>
      </c>
    </row>
    <row r="135" spans="2:4">
      <c r="B135" s="354">
        <v>48853</v>
      </c>
      <c r="C135" s="355">
        <f t="shared" si="6"/>
        <v>1.7365953538747254</v>
      </c>
      <c r="D135" s="360">
        <f t="shared" si="7"/>
        <v>1.8123148038905464E-2</v>
      </c>
    </row>
    <row r="136" spans="2:4">
      <c r="B136" s="354">
        <v>48884</v>
      </c>
      <c r="C136" s="355">
        <f t="shared" si="6"/>
        <v>1.754839322900557</v>
      </c>
      <c r="D136" s="360">
        <f t="shared" si="7"/>
        <v>1.8243969025831502E-2</v>
      </c>
    </row>
    <row r="137" spans="2:4">
      <c r="B137" s="356">
        <v>48914</v>
      </c>
      <c r="C137" s="357">
        <f t="shared" si="6"/>
        <v>1.7732049183865608</v>
      </c>
      <c r="D137" s="361">
        <f t="shared" si="7"/>
        <v>1.8365595486003715E-2</v>
      </c>
    </row>
    <row r="138" spans="2:4">
      <c r="B138" s="351">
        <v>48945</v>
      </c>
      <c r="C138" s="358">
        <f t="shared" si="6"/>
        <v>1.7916929511758046</v>
      </c>
      <c r="D138" s="362">
        <f t="shared" si="7"/>
        <v>1.8488032789243741E-2</v>
      </c>
    </row>
    <row r="139" spans="2:4">
      <c r="B139" s="354">
        <v>48976</v>
      </c>
      <c r="C139" s="355">
        <f t="shared" si="6"/>
        <v>1.8103042375169767</v>
      </c>
      <c r="D139" s="360">
        <f t="shared" si="7"/>
        <v>1.8611286341172033E-2</v>
      </c>
    </row>
    <row r="140" spans="2:4">
      <c r="B140" s="354">
        <v>49004</v>
      </c>
      <c r="C140" s="355">
        <f t="shared" si="6"/>
        <v>1.8290395991004231</v>
      </c>
      <c r="D140" s="360">
        <f t="shared" si="7"/>
        <v>1.8735361583446512E-2</v>
      </c>
    </row>
    <row r="141" spans="2:4">
      <c r="B141" s="354">
        <v>49035</v>
      </c>
      <c r="C141" s="355">
        <f t="shared" si="6"/>
        <v>1.8478998630944259</v>
      </c>
      <c r="D141" s="360">
        <f t="shared" si="7"/>
        <v>1.8860263994002823E-2</v>
      </c>
    </row>
    <row r="142" spans="2:4">
      <c r="B142" s="354">
        <v>49065</v>
      </c>
      <c r="C142" s="355">
        <f t="shared" si="6"/>
        <v>1.8668858621817221</v>
      </c>
      <c r="D142" s="360">
        <f t="shared" si="7"/>
        <v>1.8985999087296174E-2</v>
      </c>
    </row>
    <row r="143" spans="2:4">
      <c r="B143" s="354">
        <v>49096</v>
      </c>
      <c r="C143" s="355">
        <f t="shared" si="6"/>
        <v>1.885998434596267</v>
      </c>
      <c r="D143" s="360">
        <f t="shared" si="7"/>
        <v>1.9112572414544816E-2</v>
      </c>
    </row>
    <row r="144" spans="2:4">
      <c r="B144" s="351">
        <v>49126</v>
      </c>
      <c r="C144" s="358">
        <f t="shared" si="6"/>
        <v>1.9052384241602422</v>
      </c>
      <c r="D144" s="362">
        <f t="shared" si="7"/>
        <v>1.9239989563975116E-2</v>
      </c>
    </row>
    <row r="145" spans="2:4">
      <c r="B145" s="354">
        <v>49157</v>
      </c>
      <c r="C145" s="355">
        <f t="shared" si="6"/>
        <v>1.9246066803213104</v>
      </c>
      <c r="D145" s="360">
        <f t="shared" si="7"/>
        <v>1.9368256161068284E-2</v>
      </c>
    </row>
    <row r="146" spans="2:4">
      <c r="B146" s="354">
        <v>49188</v>
      </c>
      <c r="C146" s="355">
        <f t="shared" si="6"/>
        <v>1.9441040581901192</v>
      </c>
      <c r="D146" s="360">
        <f t="shared" si="7"/>
        <v>1.9497377868808737E-2</v>
      </c>
    </row>
    <row r="147" spans="2:4">
      <c r="B147" s="354">
        <v>49218</v>
      </c>
      <c r="C147" s="355">
        <f t="shared" si="6"/>
        <v>1.9637314185780534</v>
      </c>
      <c r="D147" s="360">
        <f t="shared" si="7"/>
        <v>1.9627360387934129E-2</v>
      </c>
    </row>
    <row r="148" spans="2:4">
      <c r="B148" s="354">
        <v>49249</v>
      </c>
      <c r="C148" s="355">
        <f t="shared" si="6"/>
        <v>1.9834896280352405</v>
      </c>
      <c r="D148" s="360">
        <f t="shared" si="7"/>
        <v>1.9758209457187023E-2</v>
      </c>
    </row>
    <row r="149" spans="2:4">
      <c r="B149" s="356">
        <v>49279</v>
      </c>
      <c r="C149" s="357">
        <f t="shared" si="6"/>
        <v>2.0033795588888088</v>
      </c>
      <c r="D149" s="361">
        <f t="shared" si="7"/>
        <v>1.9889930853568272E-2</v>
      </c>
    </row>
    <row r="150" spans="2:4">
      <c r="B150" s="351">
        <v>49310</v>
      </c>
      <c r="C150" s="358">
        <f t="shared" si="6"/>
        <v>2.0234020892814009</v>
      </c>
      <c r="D150" s="362">
        <f t="shared" si="7"/>
        <v>2.002253039259206E-2</v>
      </c>
    </row>
    <row r="151" spans="2:4">
      <c r="B151" s="354">
        <v>49341</v>
      </c>
      <c r="C151" s="355">
        <f t="shared" si="6"/>
        <v>2.0435581032099437</v>
      </c>
      <c r="D151" s="360">
        <f t="shared" si="7"/>
        <v>2.0156013928542674E-2</v>
      </c>
    </row>
    <row r="152" spans="2:4">
      <c r="B152" s="354">
        <v>49369</v>
      </c>
      <c r="C152" s="355">
        <f t="shared" si="6"/>
        <v>2.0638484905646766</v>
      </c>
      <c r="D152" s="360">
        <f t="shared" si="7"/>
        <v>2.0290387354732958E-2</v>
      </c>
    </row>
    <row r="153" spans="2:4">
      <c r="B153" s="354">
        <v>49400</v>
      </c>
      <c r="C153" s="355">
        <f t="shared" si="6"/>
        <v>2.0842741471684412</v>
      </c>
      <c r="D153" s="360">
        <f t="shared" si="7"/>
        <v>2.0425656603764511E-2</v>
      </c>
    </row>
    <row r="154" spans="2:4">
      <c r="B154" s="354">
        <v>49430</v>
      </c>
      <c r="C154" s="355">
        <f t="shared" ref="C154:C217" si="8">C153+D154</f>
        <v>2.1048359748162309</v>
      </c>
      <c r="D154" s="360">
        <f t="shared" ref="D154:D217" si="9">(1+C153)*$G$8</f>
        <v>2.0561827647789608E-2</v>
      </c>
    </row>
    <row r="155" spans="2:4">
      <c r="B155" s="354">
        <v>49461</v>
      </c>
      <c r="C155" s="355">
        <f t="shared" si="8"/>
        <v>2.1255348813150059</v>
      </c>
      <c r="D155" s="360">
        <f t="shared" si="9"/>
        <v>2.0698906498774875E-2</v>
      </c>
    </row>
    <row r="156" spans="2:4">
      <c r="B156" s="351">
        <v>49491</v>
      </c>
      <c r="C156" s="358">
        <f t="shared" si="8"/>
        <v>2.1463717805237725</v>
      </c>
      <c r="D156" s="362">
        <f t="shared" si="9"/>
        <v>2.0836899208766708E-2</v>
      </c>
    </row>
    <row r="157" spans="2:4">
      <c r="B157" s="354">
        <v>49522</v>
      </c>
      <c r="C157" s="355">
        <f t="shared" si="8"/>
        <v>2.1673475923939312</v>
      </c>
      <c r="D157" s="360">
        <f t="shared" si="9"/>
        <v>2.0975811870158484E-2</v>
      </c>
    </row>
    <row r="158" spans="2:4">
      <c r="B158" s="354">
        <v>49553</v>
      </c>
      <c r="C158" s="355">
        <f t="shared" si="8"/>
        <v>2.1884632430098905</v>
      </c>
      <c r="D158" s="360">
        <f t="shared" si="9"/>
        <v>2.1115650615959543E-2</v>
      </c>
    </row>
    <row r="159" spans="2:4">
      <c r="B159" s="354">
        <v>49583</v>
      </c>
      <c r="C159" s="355">
        <f t="shared" si="8"/>
        <v>2.2097196646299566</v>
      </c>
      <c r="D159" s="360">
        <f t="shared" si="9"/>
        <v>2.1256421620065937E-2</v>
      </c>
    </row>
    <row r="160" spans="2:4">
      <c r="B160" s="354">
        <v>49614</v>
      </c>
      <c r="C160" s="355">
        <f t="shared" si="8"/>
        <v>2.2311177957274895</v>
      </c>
      <c r="D160" s="360">
        <f t="shared" si="9"/>
        <v>2.1398131097533045E-2</v>
      </c>
    </row>
    <row r="161" spans="2:4">
      <c r="B161" s="356">
        <v>49644</v>
      </c>
      <c r="C161" s="357">
        <f t="shared" si="8"/>
        <v>2.2526585810323394</v>
      </c>
      <c r="D161" s="361">
        <f t="shared" si="9"/>
        <v>2.154078530484993E-2</v>
      </c>
    </row>
    <row r="162" spans="2:4">
      <c r="B162" s="351">
        <v>49675</v>
      </c>
      <c r="C162" s="358">
        <f t="shared" si="8"/>
        <v>2.2743429715725552</v>
      </c>
      <c r="D162" s="362">
        <f t="shared" si="9"/>
        <v>2.1684390540215596E-2</v>
      </c>
    </row>
    <row r="163" spans="2:4">
      <c r="B163" s="354">
        <v>49706</v>
      </c>
      <c r="C163" s="355">
        <f t="shared" si="8"/>
        <v>2.2961719247163721</v>
      </c>
      <c r="D163" s="360">
        <f t="shared" si="9"/>
        <v>2.1828953143817036E-2</v>
      </c>
    </row>
    <row r="164" spans="2:4">
      <c r="B164" s="354">
        <v>49735</v>
      </c>
      <c r="C164" s="355">
        <f t="shared" si="8"/>
        <v>2.318146404214481</v>
      </c>
      <c r="D164" s="360">
        <f t="shared" si="9"/>
        <v>2.1974479498109149E-2</v>
      </c>
    </row>
    <row r="165" spans="2:4">
      <c r="B165" s="354">
        <v>49766</v>
      </c>
      <c r="C165" s="355">
        <f t="shared" si="8"/>
        <v>2.3402673802425777</v>
      </c>
      <c r="D165" s="360">
        <f t="shared" si="9"/>
        <v>2.2120976028096543E-2</v>
      </c>
    </row>
    <row r="166" spans="2:4">
      <c r="B166" s="354">
        <v>49796</v>
      </c>
      <c r="C166" s="355">
        <f t="shared" si="8"/>
        <v>2.3625358294441949</v>
      </c>
      <c r="D166" s="360">
        <f t="shared" si="9"/>
        <v>2.2268449201617187E-2</v>
      </c>
    </row>
    <row r="167" spans="2:4">
      <c r="B167" s="354">
        <v>49827</v>
      </c>
      <c r="C167" s="355">
        <f t="shared" si="8"/>
        <v>2.3849527349738229</v>
      </c>
      <c r="D167" s="360">
        <f t="shared" si="9"/>
        <v>2.2416905529627967E-2</v>
      </c>
    </row>
    <row r="168" spans="2:4">
      <c r="B168" s="351">
        <v>49857</v>
      </c>
      <c r="C168" s="358">
        <f t="shared" si="8"/>
        <v>2.4075190865403151</v>
      </c>
      <c r="D168" s="362">
        <f t="shared" si="9"/>
        <v>2.2566351566492154E-2</v>
      </c>
    </row>
    <row r="169" spans="2:4">
      <c r="B169" s="354">
        <v>49888</v>
      </c>
      <c r="C169" s="355">
        <f t="shared" si="8"/>
        <v>2.4302358804505837</v>
      </c>
      <c r="D169" s="360">
        <f t="shared" si="9"/>
        <v>2.2716793910268769E-2</v>
      </c>
    </row>
    <row r="170" spans="2:4">
      <c r="B170" s="354">
        <v>49919</v>
      </c>
      <c r="C170" s="355">
        <f t="shared" si="8"/>
        <v>2.4531041196535877</v>
      </c>
      <c r="D170" s="360">
        <f t="shared" si="9"/>
        <v>2.2868239203003893E-2</v>
      </c>
    </row>
    <row r="171" spans="2:4">
      <c r="B171" s="354">
        <v>49949</v>
      </c>
      <c r="C171" s="355">
        <f t="shared" si="8"/>
        <v>2.4761248137846117</v>
      </c>
      <c r="D171" s="360">
        <f t="shared" si="9"/>
        <v>2.3020694131023919E-2</v>
      </c>
    </row>
    <row r="172" spans="2:4">
      <c r="B172" s="354">
        <v>49980</v>
      </c>
      <c r="C172" s="355">
        <f t="shared" si="8"/>
        <v>2.4992989792098426</v>
      </c>
      <c r="D172" s="360">
        <f t="shared" si="9"/>
        <v>2.3174165425230746E-2</v>
      </c>
    </row>
    <row r="173" spans="2:4">
      <c r="B173" s="356">
        <v>50010</v>
      </c>
      <c r="C173" s="357">
        <f t="shared" si="8"/>
        <v>2.5226276390712417</v>
      </c>
      <c r="D173" s="361">
        <f t="shared" si="9"/>
        <v>2.332865986139895E-2</v>
      </c>
    </row>
    <row r="174" spans="2:4">
      <c r="B174" s="351">
        <v>50041</v>
      </c>
      <c r="C174" s="358">
        <f t="shared" si="8"/>
        <v>2.5461118233317168</v>
      </c>
      <c r="D174" s="362">
        <f t="shared" si="9"/>
        <v>2.3484184260474945E-2</v>
      </c>
    </row>
    <row r="175" spans="2:4">
      <c r="B175" s="354">
        <v>50072</v>
      </c>
      <c r="C175" s="355">
        <f t="shared" si="8"/>
        <v>2.5697525688205949</v>
      </c>
      <c r="D175" s="360">
        <f t="shared" si="9"/>
        <v>2.3640745488878113E-2</v>
      </c>
    </row>
    <row r="176" spans="2:4">
      <c r="B176" s="354">
        <v>50100</v>
      </c>
      <c r="C176" s="355">
        <f t="shared" si="8"/>
        <v>2.5935509192793988</v>
      </c>
      <c r="D176" s="360">
        <f t="shared" si="9"/>
        <v>2.3798350458803966E-2</v>
      </c>
    </row>
    <row r="177" spans="2:4">
      <c r="B177" s="354">
        <v>50131</v>
      </c>
      <c r="C177" s="355">
        <f t="shared" si="8"/>
        <v>2.6175079254079283</v>
      </c>
      <c r="D177" s="360">
        <f t="shared" si="9"/>
        <v>2.3957006128529326E-2</v>
      </c>
    </row>
    <row r="178" spans="2:4">
      <c r="B178" s="354">
        <v>50161</v>
      </c>
      <c r="C178" s="355">
        <f t="shared" si="8"/>
        <v>2.6416246449106477</v>
      </c>
      <c r="D178" s="360">
        <f t="shared" si="9"/>
        <v>2.4116719502719524E-2</v>
      </c>
    </row>
    <row r="179" spans="2:4">
      <c r="B179" s="354">
        <v>50192</v>
      </c>
      <c r="C179" s="355">
        <f t="shared" si="8"/>
        <v>2.6659021425433855</v>
      </c>
      <c r="D179" s="360">
        <f t="shared" si="9"/>
        <v>2.4277497632737653E-2</v>
      </c>
    </row>
    <row r="180" spans="2:4">
      <c r="B180" s="351">
        <v>50222</v>
      </c>
      <c r="C180" s="358">
        <f t="shared" si="8"/>
        <v>2.6903414901603413</v>
      </c>
      <c r="D180" s="362">
        <f t="shared" si="9"/>
        <v>2.4439347616955907E-2</v>
      </c>
    </row>
    <row r="181" spans="2:4">
      <c r="B181" s="354">
        <v>50253</v>
      </c>
      <c r="C181" s="355">
        <f t="shared" si="8"/>
        <v>2.7149437667614102</v>
      </c>
      <c r="D181" s="360">
        <f t="shared" si="9"/>
        <v>2.4602276601068944E-2</v>
      </c>
    </row>
    <row r="182" spans="2:4">
      <c r="B182" s="354">
        <v>50284</v>
      </c>
      <c r="C182" s="355">
        <f t="shared" si="8"/>
        <v>2.7397100585398197</v>
      </c>
      <c r="D182" s="360">
        <f t="shared" si="9"/>
        <v>2.4766291778409402E-2</v>
      </c>
    </row>
    <row r="183" spans="2:4">
      <c r="B183" s="354">
        <v>50314</v>
      </c>
      <c r="C183" s="355">
        <f t="shared" si="8"/>
        <v>2.7646414589300852</v>
      </c>
      <c r="D183" s="360">
        <f t="shared" si="9"/>
        <v>2.4931400390265465E-2</v>
      </c>
    </row>
    <row r="184" spans="2:4">
      <c r="B184" s="354">
        <v>50345</v>
      </c>
      <c r="C184" s="355">
        <f t="shared" si="8"/>
        <v>2.789739068656286</v>
      </c>
      <c r="D184" s="360">
        <f t="shared" si="9"/>
        <v>2.5097609726200568E-2</v>
      </c>
    </row>
    <row r="185" spans="2:4">
      <c r="B185" s="356">
        <v>50375</v>
      </c>
      <c r="C185" s="357">
        <f t="shared" si="8"/>
        <v>2.8150039957806614</v>
      </c>
      <c r="D185" s="361">
        <f t="shared" si="9"/>
        <v>2.5264927124375242E-2</v>
      </c>
    </row>
    <row r="186" spans="2:4">
      <c r="B186" s="351">
        <v>50406</v>
      </c>
      <c r="C186" s="358">
        <f t="shared" si="8"/>
        <v>2.8404373557525324</v>
      </c>
      <c r="D186" s="362">
        <f t="shared" si="9"/>
        <v>2.5433359971871079E-2</v>
      </c>
    </row>
    <row r="187" spans="2:4">
      <c r="B187" s="354">
        <v>50437</v>
      </c>
      <c r="C187" s="355">
        <f t="shared" si="8"/>
        <v>2.8660402714575492</v>
      </c>
      <c r="D187" s="360">
        <f t="shared" si="9"/>
        <v>2.5602915705016886E-2</v>
      </c>
    </row>
    <row r="188" spans="2:4">
      <c r="B188" s="354">
        <v>50465</v>
      </c>
      <c r="C188" s="355">
        <f t="shared" si="8"/>
        <v>2.8918138732672665</v>
      </c>
      <c r="D188" s="360">
        <f t="shared" si="9"/>
        <v>2.5773601809716995E-2</v>
      </c>
    </row>
    <row r="189" spans="2:4">
      <c r="B189" s="354">
        <v>50496</v>
      </c>
      <c r="C189" s="355">
        <f t="shared" si="8"/>
        <v>2.9177592990890484</v>
      </c>
      <c r="D189" s="360">
        <f t="shared" si="9"/>
        <v>2.5945425821781779E-2</v>
      </c>
    </row>
    <row r="190" spans="2:4">
      <c r="B190" s="354">
        <v>50526</v>
      </c>
      <c r="C190" s="355">
        <f t="shared" si="8"/>
        <v>2.9438776944163085</v>
      </c>
      <c r="D190" s="360">
        <f t="shared" si="9"/>
        <v>2.6118395327260326E-2</v>
      </c>
    </row>
    <row r="191" spans="2:4">
      <c r="B191" s="354">
        <v>50557</v>
      </c>
      <c r="C191" s="355">
        <f t="shared" si="8"/>
        <v>2.9701702123790841</v>
      </c>
      <c r="D191" s="360">
        <f t="shared" si="9"/>
        <v>2.6292517962775392E-2</v>
      </c>
    </row>
    <row r="192" spans="2:4">
      <c r="B192" s="351">
        <v>50587</v>
      </c>
      <c r="C192" s="358">
        <f t="shared" si="8"/>
        <v>2.9966380137949447</v>
      </c>
      <c r="D192" s="362">
        <f t="shared" si="9"/>
        <v>2.6467801415860564E-2</v>
      </c>
    </row>
    <row r="193" spans="2:4">
      <c r="B193" s="354">
        <v>50618</v>
      </c>
      <c r="C193" s="355">
        <f t="shared" si="8"/>
        <v>3.0232822672202442</v>
      </c>
      <c r="D193" s="360">
        <f t="shared" si="9"/>
        <v>2.6644253425299632E-2</v>
      </c>
    </row>
    <row r="194" spans="2:4">
      <c r="B194" s="354">
        <v>50649</v>
      </c>
      <c r="C194" s="355">
        <f t="shared" si="8"/>
        <v>3.0501041490017125</v>
      </c>
      <c r="D194" s="360">
        <f t="shared" si="9"/>
        <v>2.6821881781468295E-2</v>
      </c>
    </row>
    <row r="195" spans="2:4">
      <c r="B195" s="354">
        <v>50679</v>
      </c>
      <c r="C195" s="355">
        <f t="shared" si="8"/>
        <v>3.0771048433283905</v>
      </c>
      <c r="D195" s="360">
        <f t="shared" si="9"/>
        <v>2.7000694326678086E-2</v>
      </c>
    </row>
    <row r="196" spans="2:4">
      <c r="B196" s="354">
        <v>50710</v>
      </c>
      <c r="C196" s="355">
        <f t="shared" si="8"/>
        <v>3.1042855422839133</v>
      </c>
      <c r="D196" s="360">
        <f t="shared" si="9"/>
        <v>2.7180698955522605E-2</v>
      </c>
    </row>
    <row r="197" spans="2:4">
      <c r="B197" s="356">
        <v>50740</v>
      </c>
      <c r="C197" s="357">
        <f t="shared" si="8"/>
        <v>3.1316474458991395</v>
      </c>
      <c r="D197" s="361">
        <f t="shared" si="9"/>
        <v>2.7361903615226089E-2</v>
      </c>
    </row>
    <row r="198" spans="2:4">
      <c r="B198" s="351">
        <v>50771</v>
      </c>
      <c r="C198" s="358">
        <f t="shared" si="8"/>
        <v>3.1591917622051335</v>
      </c>
      <c r="D198" s="362">
        <f t="shared" si="9"/>
        <v>2.754431630599426E-2</v>
      </c>
    </row>
    <row r="199" spans="2:4">
      <c r="B199" s="354">
        <v>50802</v>
      </c>
      <c r="C199" s="355">
        <f t="shared" si="8"/>
        <v>3.186919707286501</v>
      </c>
      <c r="D199" s="360">
        <f t="shared" si="9"/>
        <v>2.7727945081367559E-2</v>
      </c>
    </row>
    <row r="200" spans="2:4">
      <c r="B200" s="354">
        <v>50830</v>
      </c>
      <c r="C200" s="355">
        <f t="shared" si="8"/>
        <v>3.2148325053350777</v>
      </c>
      <c r="D200" s="360">
        <f t="shared" si="9"/>
        <v>2.7912798048576676E-2</v>
      </c>
    </row>
    <row r="201" spans="2:4">
      <c r="B201" s="354">
        <v>50861</v>
      </c>
      <c r="C201" s="355">
        <f t="shared" si="8"/>
        <v>3.2429313887039783</v>
      </c>
      <c r="D201" s="360">
        <f t="shared" si="9"/>
        <v>2.8098883368900523E-2</v>
      </c>
    </row>
    <row r="202" spans="2:4">
      <c r="B202" s="354">
        <v>50891</v>
      </c>
      <c r="C202" s="355">
        <f t="shared" si="8"/>
        <v>3.2712175979620048</v>
      </c>
      <c r="D202" s="360">
        <f t="shared" si="9"/>
        <v>2.828620925802652E-2</v>
      </c>
    </row>
    <row r="203" spans="2:4">
      <c r="B203" s="354">
        <v>50922</v>
      </c>
      <c r="C203" s="355">
        <f t="shared" si="8"/>
        <v>3.2996923819484181</v>
      </c>
      <c r="D203" s="360">
        <f t="shared" si="9"/>
        <v>2.8474783986413371E-2</v>
      </c>
    </row>
    <row r="204" spans="2:4">
      <c r="B204" s="351">
        <v>50952</v>
      </c>
      <c r="C204" s="358">
        <f t="shared" si="8"/>
        <v>3.3283569978280743</v>
      </c>
      <c r="D204" s="362">
        <f t="shared" si="9"/>
        <v>2.8664615879656123E-2</v>
      </c>
    </row>
    <row r="205" spans="2:4">
      <c r="B205" s="354">
        <v>50983</v>
      </c>
      <c r="C205" s="355">
        <f t="shared" si="8"/>
        <v>3.3572127111469281</v>
      </c>
      <c r="D205" s="360">
        <f t="shared" si="9"/>
        <v>2.8855713318853827E-2</v>
      </c>
    </row>
    <row r="206" spans="2:4">
      <c r="B206" s="354">
        <v>51014</v>
      </c>
      <c r="C206" s="355">
        <f t="shared" si="8"/>
        <v>3.3862607958879076</v>
      </c>
      <c r="D206" s="360">
        <f t="shared" si="9"/>
        <v>2.9048084740979526E-2</v>
      </c>
    </row>
    <row r="207" spans="2:4">
      <c r="B207" s="354">
        <v>51044</v>
      </c>
      <c r="C207" s="355">
        <f t="shared" si="8"/>
        <v>3.4155025345271603</v>
      </c>
      <c r="D207" s="360">
        <f t="shared" si="9"/>
        <v>2.924173863925272E-2</v>
      </c>
    </row>
    <row r="208" spans="2:4">
      <c r="B208" s="354">
        <v>51075</v>
      </c>
      <c r="C208" s="355">
        <f t="shared" si="8"/>
        <v>3.4449392180906746</v>
      </c>
      <c r="D208" s="360">
        <f t="shared" si="9"/>
        <v>2.9436683563514403E-2</v>
      </c>
    </row>
    <row r="209" spans="2:4">
      <c r="B209" s="356">
        <v>51105</v>
      </c>
      <c r="C209" s="357">
        <f t="shared" si="8"/>
        <v>3.4745721462112793</v>
      </c>
      <c r="D209" s="361">
        <f t="shared" si="9"/>
        <v>2.9632928120604498E-2</v>
      </c>
    </row>
    <row r="210" spans="2:4">
      <c r="B210" s="351">
        <v>51136</v>
      </c>
      <c r="C210" s="358">
        <f t="shared" si="8"/>
        <v>3.5044026271860211</v>
      </c>
      <c r="D210" s="362">
        <f t="shared" si="9"/>
        <v>2.9830480974741867E-2</v>
      </c>
    </row>
    <row r="211" spans="2:4">
      <c r="B211" s="354">
        <v>51167</v>
      </c>
      <c r="C211" s="355">
        <f t="shared" si="8"/>
        <v>3.5344319780339282</v>
      </c>
      <c r="D211" s="360">
        <f t="shared" si="9"/>
        <v>3.0029350847906811E-2</v>
      </c>
    </row>
    <row r="212" spans="2:4">
      <c r="B212" s="354">
        <v>51196</v>
      </c>
      <c r="C212" s="355">
        <f t="shared" si="8"/>
        <v>3.5646615245541544</v>
      </c>
      <c r="D212" s="360">
        <f t="shared" si="9"/>
        <v>3.0229546520226188E-2</v>
      </c>
    </row>
    <row r="213" spans="2:4">
      <c r="B213" s="354">
        <v>51227</v>
      </c>
      <c r="C213" s="355">
        <f t="shared" si="8"/>
        <v>3.5950926013845153</v>
      </c>
      <c r="D213" s="360">
        <f t="shared" si="9"/>
        <v>3.0431076830361028E-2</v>
      </c>
    </row>
    <row r="214" spans="2:4">
      <c r="B214" s="354">
        <v>51257</v>
      </c>
      <c r="C214" s="355">
        <f t="shared" si="8"/>
        <v>3.6257265520604118</v>
      </c>
      <c r="D214" s="360">
        <f t="shared" si="9"/>
        <v>3.0633950675896766E-2</v>
      </c>
    </row>
    <row r="215" spans="2:4">
      <c r="B215" s="354">
        <v>51288</v>
      </c>
      <c r="C215" s="355">
        <f t="shared" si="8"/>
        <v>3.6565647290741481</v>
      </c>
      <c r="D215" s="360">
        <f t="shared" si="9"/>
        <v>3.083817701373608E-2</v>
      </c>
    </row>
    <row r="216" spans="2:4">
      <c r="B216" s="351">
        <v>51318</v>
      </c>
      <c r="C216" s="358">
        <f t="shared" si="8"/>
        <v>3.6876084939346425</v>
      </c>
      <c r="D216" s="362">
        <f t="shared" si="9"/>
        <v>3.1043764860494323E-2</v>
      </c>
    </row>
    <row r="217" spans="2:4">
      <c r="B217" s="354">
        <v>51349</v>
      </c>
      <c r="C217" s="355">
        <f t="shared" si="8"/>
        <v>3.7188592172275401</v>
      </c>
      <c r="D217" s="360">
        <f t="shared" si="9"/>
        <v>3.1250723292897617E-2</v>
      </c>
    </row>
    <row r="218" spans="2:4">
      <c r="B218" s="354">
        <v>51380</v>
      </c>
      <c r="C218" s="355">
        <f t="shared" ref="C218:C221" si="10">C217+D218</f>
        <v>3.7503182786757239</v>
      </c>
      <c r="D218" s="360">
        <f t="shared" ref="D218:D221" si="11">(1+C217)*$G$8</f>
        <v>3.1459061448183605E-2</v>
      </c>
    </row>
    <row r="219" spans="2:4">
      <c r="B219" s="354">
        <v>51410</v>
      </c>
      <c r="C219" s="355">
        <f t="shared" si="10"/>
        <v>3.7819870672002285</v>
      </c>
      <c r="D219" s="360">
        <f t="shared" si="11"/>
        <v>3.1668788524504832E-2</v>
      </c>
    </row>
    <row r="220" spans="2:4">
      <c r="B220" s="354">
        <v>51441</v>
      </c>
      <c r="C220" s="355">
        <f t="shared" si="10"/>
        <v>3.8138669809815635</v>
      </c>
      <c r="D220" s="360">
        <f t="shared" si="11"/>
        <v>3.1879913781334861E-2</v>
      </c>
    </row>
    <row r="221" spans="2:4">
      <c r="B221" s="356">
        <v>51471</v>
      </c>
      <c r="C221" s="357">
        <f t="shared" si="10"/>
        <v>3.8459594275214406</v>
      </c>
      <c r="D221" s="361">
        <f t="shared" si="11"/>
        <v>3.2092446539877091E-2</v>
      </c>
    </row>
  </sheetData>
  <sheetProtection algorithmName="SHA-512" hashValue="Fu1FXUxPFhlEk5ZDsFVheS+61NoGXFhIN+HooqfWMBcnNNmRXDDw4NARvk34mXN3JJlCySiMHh8FhZu6qk9ErA==" saltValue="uHpZDZu2HHj99908H8d11A==" spinCount="100000" sheet="1" objects="1" scenarios="1" selectLockedCells="1" selectUnlockedCells="1"/>
  <printOptions horizontalCentered="1"/>
  <pageMargins left="0.25" right="0.25"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Quick Inflation Factor Update</vt:lpstr>
      <vt:lpstr>Quick Inflation Date Update</vt:lpstr>
      <vt:lpstr>PBW_Summary</vt:lpstr>
      <vt:lpstr>PBW</vt:lpstr>
      <vt:lpstr>PBW_Summary_NoInflation</vt:lpstr>
      <vt:lpstr>PBW_NoInflation</vt:lpstr>
      <vt:lpstr>ENR</vt:lpstr>
      <vt:lpstr>DFD Inflation Estimation Tool</vt:lpstr>
      <vt:lpstr>DFD Inflation Summary</vt:lpstr>
      <vt:lpstr>UWSA Escalation Calculation</vt:lpstr>
      <vt:lpstr>READ ME</vt:lpstr>
      <vt:lpstr>COST GUIDELINES</vt:lpstr>
      <vt:lpstr>SAMPLE</vt:lpstr>
      <vt:lpstr>LOOKUPS</vt:lpstr>
      <vt:lpstr>DURATION</vt:lpstr>
      <vt:lpstr>'COST GUIDELINES'!ENR</vt:lpstr>
      <vt:lpstr>PBW_NoInflation!ENR</vt:lpstr>
      <vt:lpstr>'READ ME'!ENR</vt:lpstr>
      <vt:lpstr>SAMPLE!ENR</vt:lpstr>
      <vt:lpstr>ENR</vt:lpstr>
      <vt:lpstr>'COST GUIDELINES'!Print_Area</vt:lpstr>
      <vt:lpstr>PBW!Print_Area</vt:lpstr>
      <vt:lpstr>PBW_NoInflation!Print_Area</vt:lpstr>
      <vt:lpstr>PBW_Summary!Print_Area</vt:lpstr>
      <vt:lpstr>PBW_Summary_NoInflation!Print_Area</vt:lpstr>
      <vt:lpstr>'Quick Inflation Date Update'!Print_Area</vt:lpstr>
      <vt:lpstr>'Quick Inflation Factor Update'!Print_Area</vt:lpstr>
      <vt:lpstr>'READ ME'!Print_Area</vt:lpstr>
      <vt:lpstr>SAMPLE!Print_Area</vt:lpstr>
      <vt:lpstr>PROJECTTYPE</vt:lpstr>
      <vt:lpstr>'COST GUIDELINES'!TOTCONST</vt:lpstr>
      <vt:lpstr>PBW_NoInflation!TOTCONST</vt:lpstr>
      <vt:lpstr>'READ ME'!TOTCONST</vt:lpstr>
      <vt:lpstr>SAMPLE!TOTCONST</vt:lpstr>
      <vt:lpstr>TOTCONST</vt:lpstr>
      <vt:lpstr>VERSION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worksheet</dc:title>
  <dc:creator>CAPITAL Planning &amp; BUDGET</dc:creator>
  <cp:lastModifiedBy>Thomas J. Bittner</cp:lastModifiedBy>
  <cp:lastPrinted>2022-12-09T17:14:02Z</cp:lastPrinted>
  <dcterms:created xsi:type="dcterms:W3CDTF">1997-12-08T19:36:59Z</dcterms:created>
  <dcterms:modified xsi:type="dcterms:W3CDTF">2023-03-01T22:54:54Z</dcterms:modified>
</cp:coreProperties>
</file>