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\Desktop\New folder (2)\"/>
    </mc:Choice>
  </mc:AlternateContent>
  <bookViews>
    <workbookView xWindow="300" yWindow="456" windowWidth="24024" windowHeight="16980"/>
  </bookViews>
  <sheets>
    <sheet name="Setup" sheetId="1" r:id="rId1"/>
    <sheet name="All Players Board" sheetId="2" r:id="rId2"/>
    <sheet name="Player Scoreboard" sheetId="5" r:id="rId3"/>
    <sheet name="Player Leaderboard" sheetId="6" r:id="rId4"/>
    <sheet name="Best Player n Top Scorer" sheetId="10" r:id="rId5"/>
    <sheet name="Copyright" sheetId="14" r:id="rId6"/>
    <sheet name="Copyright-2" sheetId="15" state="hidden" r:id="rId7"/>
    <sheet name="Dummy Rank" sheetId="7" state="hidden" r:id="rId8"/>
  </sheets>
  <definedNames>
    <definedName name="BestPlayer">'Best Player n Top Scorer'!$C$4:$C$104</definedName>
    <definedName name="Fina1">Setup!$I$12</definedName>
    <definedName name="Fina2">Setup!$I$13</definedName>
    <definedName name="Fina3">Setup!$I$14</definedName>
    <definedName name="finalist">'All Players Board'!$B$33:$B$34</definedName>
    <definedName name="KOMatchRule">Setup!$B$6</definedName>
    <definedName name="KOMatchTeam">Setup!$B$8</definedName>
    <definedName name="KOPSO">Setup!$B$7</definedName>
    <definedName name="Pena1">Setup!$E$17</definedName>
    <definedName name="Pena2">Setup!$E$18</definedName>
    <definedName name="Pena3">Setup!$E$19</definedName>
    <definedName name="Pool1">Setup!#REF!</definedName>
    <definedName name="Pool2">Setup!#REF!</definedName>
    <definedName name="Pool3">Setup!#REF!</definedName>
    <definedName name="_xlnm.Print_Area" localSheetId="1">'All Players Board'!$B$2:$W$6</definedName>
    <definedName name="_xlnm.Print_Area" localSheetId="3">'Player Leaderboard'!$B$2:$L$14</definedName>
    <definedName name="_xlnm.Print_Area" localSheetId="2">'Player Scoreboard'!$B$3:$L$13</definedName>
    <definedName name="_xlnm.Print_Area" localSheetId="0">Setup!$B$2:$J$48</definedName>
    <definedName name="Qualified">'All Players Board'!$A$21:$A$36</definedName>
    <definedName name="Quar1">Setup!$F$12</definedName>
    <definedName name="Quar2">Setup!$F$13</definedName>
    <definedName name="Quar3">Setup!$F$14</definedName>
    <definedName name="quarterfinalist">'All Players Board'!$B$21:$B$28</definedName>
    <definedName name="Round1">Setup!$E$12</definedName>
    <definedName name="Round2">Setup!$E$13</definedName>
    <definedName name="Round3">Setup!$E$14</definedName>
    <definedName name="Semi1">Setup!$G$12</definedName>
    <definedName name="Semi2">Setup!$G$13</definedName>
    <definedName name="Semi3">Setup!$G$14</definedName>
    <definedName name="semifinalist">'All Players Board'!$B$29:$B$32</definedName>
    <definedName name="Thir1">Setup!$H$12</definedName>
    <definedName name="Thir2">Setup!$H$13</definedName>
    <definedName name="Thir3">Setup!$H$14</definedName>
    <definedName name="TopScorer">'Best Player n Top Scorer'!$F$4:$F$104</definedName>
    <definedName name="ViewBoard">'Player Scoreboard'!$L$4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8" i="5" l="1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A36" i="2" l="1"/>
  <c r="A35" i="2"/>
  <c r="A34" i="2"/>
  <c r="A33" i="2"/>
  <c r="A32" i="2"/>
  <c r="A31" i="2"/>
  <c r="A30" i="2"/>
  <c r="A29" i="2"/>
  <c r="A22" i="2"/>
  <c r="A23" i="2"/>
  <c r="A24" i="2"/>
  <c r="A25" i="2"/>
  <c r="A26" i="2"/>
  <c r="A27" i="2"/>
  <c r="A28" i="2"/>
  <c r="A21" i="2"/>
  <c r="B8" i="1" l="1"/>
  <c r="B6" i="1"/>
  <c r="L34" i="2" l="1"/>
  <c r="L32" i="2"/>
  <c r="BJ11" i="2" l="1"/>
  <c r="AY11" i="2"/>
  <c r="AC11" i="2"/>
  <c r="AN11" i="2"/>
  <c r="R11" i="2"/>
  <c r="AC10" i="2"/>
  <c r="BJ10" i="2"/>
  <c r="AY10" i="2"/>
  <c r="AN10" i="2"/>
  <c r="R10" i="2"/>
  <c r="L28" i="2"/>
  <c r="BJ9" i="2" l="1"/>
  <c r="R9" i="2"/>
  <c r="AY9" i="2"/>
  <c r="AN9" i="2"/>
  <c r="AC9" i="2"/>
  <c r="B7" i="1"/>
  <c r="O4" i="2" l="1"/>
  <c r="J6" i="5" l="1"/>
  <c r="J7" i="6" s="1"/>
  <c r="X3" i="2"/>
  <c r="M2" i="2"/>
  <c r="A10" i="5"/>
  <c r="A11" i="5" s="1"/>
  <c r="A7" i="7"/>
  <c r="G7" i="7" s="1"/>
  <c r="A8" i="7"/>
  <c r="G8" i="7" s="1"/>
  <c r="A9" i="7"/>
  <c r="G9" i="7" s="1"/>
  <c r="A6" i="7"/>
  <c r="G6" i="7" s="1"/>
  <c r="A5" i="7"/>
  <c r="G5" i="7" s="1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Z4" i="2" l="1"/>
  <c r="X2" i="2" s="1"/>
  <c r="AI3" i="2"/>
  <c r="A12" i="5"/>
  <c r="A13" i="5" s="1"/>
  <c r="AK4" i="2" l="1"/>
  <c r="AT3" i="2"/>
  <c r="AV4" i="2" l="1"/>
  <c r="BE3" i="2"/>
  <c r="BG4" i="2" s="1"/>
  <c r="AI2" i="2"/>
  <c r="AT2" i="2" l="1"/>
  <c r="BE2" i="2" l="1"/>
  <c r="I22" i="2" l="1"/>
  <c r="F24" i="2"/>
  <c r="AU24" i="2" l="1"/>
  <c r="N24" i="2"/>
  <c r="BF24" i="2"/>
  <c r="AJ24" i="2"/>
  <c r="Y24" i="2"/>
  <c r="BI22" i="2"/>
  <c r="AM22" i="2"/>
  <c r="AB22" i="2"/>
  <c r="AX22" i="2"/>
  <c r="Q22" i="2"/>
  <c r="F23" i="2"/>
  <c r="F26" i="2"/>
  <c r="I21" i="2"/>
  <c r="I27" i="2"/>
  <c r="I25" i="2"/>
  <c r="F25" i="2"/>
  <c r="F27" i="2"/>
  <c r="I28" i="2"/>
  <c r="I31" i="2"/>
  <c r="Q25" i="2" l="1"/>
  <c r="AX25" i="2"/>
  <c r="BI25" i="2"/>
  <c r="AM25" i="2"/>
  <c r="AB25" i="2"/>
  <c r="BF23" i="2"/>
  <c r="AJ23" i="2"/>
  <c r="Y23" i="2"/>
  <c r="N23" i="2"/>
  <c r="AU23" i="2"/>
  <c r="AM31" i="2"/>
  <c r="BI28" i="2"/>
  <c r="AM28" i="2"/>
  <c r="AB28" i="2"/>
  <c r="Q28" i="2"/>
  <c r="AX28" i="2"/>
  <c r="AX27" i="2"/>
  <c r="Q27" i="2"/>
  <c r="BI27" i="2"/>
  <c r="AM27" i="2"/>
  <c r="AB27" i="2"/>
  <c r="BI31" i="2"/>
  <c r="S7" i="5"/>
  <c r="BF27" i="2"/>
  <c r="AJ27" i="2"/>
  <c r="Y27" i="2"/>
  <c r="N27" i="2"/>
  <c r="AU27" i="2"/>
  <c r="BB27" i="2" s="1"/>
  <c r="AF27" i="2"/>
  <c r="AX21" i="2"/>
  <c r="BI21" i="2"/>
  <c r="AM21" i="2"/>
  <c r="AB21" i="2"/>
  <c r="Q21" i="2"/>
  <c r="Q7" i="5"/>
  <c r="BF25" i="2"/>
  <c r="BM25" i="2" s="1"/>
  <c r="AJ25" i="2"/>
  <c r="AQ25" i="2" s="1"/>
  <c r="Y25" i="2"/>
  <c r="AF25" i="2" s="1"/>
  <c r="AU25" i="2"/>
  <c r="N25" i="2"/>
  <c r="U25" i="2" s="1"/>
  <c r="AU26" i="2"/>
  <c r="BF26" i="2"/>
  <c r="AJ26" i="2"/>
  <c r="Y26" i="2"/>
  <c r="N26" i="2"/>
  <c r="AB31" i="2"/>
  <c r="AX31" i="2"/>
  <c r="Q31" i="2"/>
  <c r="M27" i="2" s="1"/>
  <c r="B27" i="2"/>
  <c r="I26" i="2"/>
  <c r="R7" i="5" s="1"/>
  <c r="F28" i="2"/>
  <c r="I23" i="2"/>
  <c r="F32" i="2"/>
  <c r="F21" i="2"/>
  <c r="I32" i="2"/>
  <c r="B28" i="2" s="1"/>
  <c r="F30" i="2"/>
  <c r="F31" i="2"/>
  <c r="BM27" i="2" l="1"/>
  <c r="BO27" i="2" s="1"/>
  <c r="W25" i="2"/>
  <c r="Q9" i="5"/>
  <c r="AH25" i="2"/>
  <c r="Q10" i="5"/>
  <c r="AH27" i="2"/>
  <c r="S10" i="5"/>
  <c r="AS25" i="2"/>
  <c r="Q11" i="5"/>
  <c r="BD27" i="2"/>
  <c r="S12" i="5"/>
  <c r="BO25" i="2"/>
  <c r="Q13" i="5"/>
  <c r="AT27" i="2"/>
  <c r="AU34" i="2"/>
  <c r="Y34" i="2"/>
  <c r="X27" i="2"/>
  <c r="AX30" i="2"/>
  <c r="AT26" i="2" s="1"/>
  <c r="AU30" i="2"/>
  <c r="AX23" i="2"/>
  <c r="AU31" i="2" s="1"/>
  <c r="AT23" i="2" s="1"/>
  <c r="Q23" i="2"/>
  <c r="U23" i="2" s="1"/>
  <c r="BI23" i="2"/>
  <c r="BF31" i="2" s="1"/>
  <c r="BE23" i="2" s="1"/>
  <c r="AM23" i="2"/>
  <c r="AJ31" i="2" s="1"/>
  <c r="AI23" i="2" s="1"/>
  <c r="AB23" i="2"/>
  <c r="Y31" i="2" s="1"/>
  <c r="X23" i="2" s="1"/>
  <c r="AB30" i="2"/>
  <c r="X26" i="2" s="1"/>
  <c r="Y30" i="2"/>
  <c r="U27" i="2"/>
  <c r="S9" i="5" s="1"/>
  <c r="Y32" i="2"/>
  <c r="X24" i="2" s="1"/>
  <c r="AJ32" i="2"/>
  <c r="AI24" i="2" s="1"/>
  <c r="BE27" i="2"/>
  <c r="BF34" i="2"/>
  <c r="AI27" i="2"/>
  <c r="AJ34" i="2"/>
  <c r="O7" i="5"/>
  <c r="AJ30" i="2"/>
  <c r="M7" i="5"/>
  <c r="BF21" i="2"/>
  <c r="AJ21" i="2"/>
  <c r="Y21" i="2"/>
  <c r="AF21" i="2" s="1"/>
  <c r="N21" i="2"/>
  <c r="U21" i="2" s="1"/>
  <c r="AU21" i="2"/>
  <c r="BB21" i="2" s="1"/>
  <c r="AQ21" i="2"/>
  <c r="BM21" i="2"/>
  <c r="BI26" i="2"/>
  <c r="AM26" i="2"/>
  <c r="AQ26" i="2" s="1"/>
  <c r="AB26" i="2"/>
  <c r="AX26" i="2"/>
  <c r="BB26" i="2" s="1"/>
  <c r="Q26" i="2"/>
  <c r="U26" i="2" s="1"/>
  <c r="BM26" i="2"/>
  <c r="BI30" i="2"/>
  <c r="BE26" i="2" s="1"/>
  <c r="BF30" i="2"/>
  <c r="AQ27" i="2"/>
  <c r="AU32" i="2"/>
  <c r="AT24" i="2" s="1"/>
  <c r="BF32" i="2"/>
  <c r="BE24" i="2" s="1"/>
  <c r="T7" i="5"/>
  <c r="AU28" i="2"/>
  <c r="BB28" i="2" s="1"/>
  <c r="N28" i="2"/>
  <c r="BF28" i="2"/>
  <c r="BM28" i="2" s="1"/>
  <c r="AJ28" i="2"/>
  <c r="AQ28" i="2" s="1"/>
  <c r="Y28" i="2"/>
  <c r="AF28" i="2"/>
  <c r="U28" i="2"/>
  <c r="T9" i="5" s="1"/>
  <c r="AM30" i="2"/>
  <c r="AI26" i="2" s="1"/>
  <c r="BB25" i="2"/>
  <c r="X7" i="5"/>
  <c r="W7" i="5"/>
  <c r="BB31" i="2"/>
  <c r="N34" i="2"/>
  <c r="M30" i="2" s="1"/>
  <c r="I30" i="2"/>
  <c r="B26" i="2" s="1"/>
  <c r="B23" i="2"/>
  <c r="F34" i="2"/>
  <c r="B22" i="2"/>
  <c r="B24" i="2"/>
  <c r="F29" i="2"/>
  <c r="I24" i="2"/>
  <c r="I34" i="2"/>
  <c r="N32" i="2"/>
  <c r="N30" i="2"/>
  <c r="Q32" i="2"/>
  <c r="M28" i="2" s="1"/>
  <c r="F22" i="2"/>
  <c r="I33" i="2"/>
  <c r="B31" i="2" s="1"/>
  <c r="Q30" i="2"/>
  <c r="M26" i="2" s="1"/>
  <c r="G40" i="2"/>
  <c r="N31" i="2"/>
  <c r="N29" i="2"/>
  <c r="AQ31" i="2" l="1"/>
  <c r="M9" i="5"/>
  <c r="W21" i="2"/>
  <c r="AQ23" i="2"/>
  <c r="AF23" i="2"/>
  <c r="O10" i="5" s="1"/>
  <c r="AF31" i="2"/>
  <c r="AH31" i="2" s="1"/>
  <c r="S13" i="5"/>
  <c r="BM31" i="2"/>
  <c r="BO31" i="2" s="1"/>
  <c r="BM23" i="2"/>
  <c r="BO23" i="2" s="1"/>
  <c r="BB23" i="2"/>
  <c r="BD23" i="2" s="1"/>
  <c r="W23" i="2"/>
  <c r="O9" i="5"/>
  <c r="BO21" i="2"/>
  <c r="M13" i="5"/>
  <c r="O12" i="5"/>
  <c r="BD21" i="2"/>
  <c r="M12" i="5"/>
  <c r="AS21" i="2"/>
  <c r="M11" i="5"/>
  <c r="AS23" i="2"/>
  <c r="O11" i="5"/>
  <c r="AH21" i="2"/>
  <c r="M10" i="5"/>
  <c r="AH23" i="2"/>
  <c r="BD25" i="2"/>
  <c r="Q12" i="5"/>
  <c r="AS28" i="2"/>
  <c r="T11" i="5"/>
  <c r="BO26" i="2"/>
  <c r="R13" i="5"/>
  <c r="AS26" i="2"/>
  <c r="R11" i="5"/>
  <c r="AS31" i="2"/>
  <c r="W11" i="5"/>
  <c r="AH28" i="2"/>
  <c r="T10" i="5"/>
  <c r="BO28" i="2"/>
  <c r="T13" i="5"/>
  <c r="W26" i="2"/>
  <c r="W27" i="2" s="1"/>
  <c r="R9" i="5"/>
  <c r="BD31" i="2"/>
  <c r="W12" i="5"/>
  <c r="BD28" i="2"/>
  <c r="T12" i="5"/>
  <c r="BD26" i="2"/>
  <c r="R12" i="5"/>
  <c r="AS27" i="2"/>
  <c r="S11" i="5"/>
  <c r="AF26" i="2"/>
  <c r="BI36" i="2"/>
  <c r="BE34" i="2" s="1"/>
  <c r="BE30" i="2"/>
  <c r="AX36" i="2"/>
  <c r="AT34" i="2" s="1"/>
  <c r="AT30" i="2"/>
  <c r="N7" i="5"/>
  <c r="AU22" i="2"/>
  <c r="BB22" i="2" s="1"/>
  <c r="BF22" i="2"/>
  <c r="BM22" i="2" s="1"/>
  <c r="AJ22" i="2"/>
  <c r="AQ22" i="2" s="1"/>
  <c r="Y22" i="2"/>
  <c r="AF22" i="2" s="1"/>
  <c r="N22" i="2"/>
  <c r="U22" i="2" s="1"/>
  <c r="N9" i="5" s="1"/>
  <c r="AB32" i="2"/>
  <c r="AX32" i="2"/>
  <c r="W28" i="2"/>
  <c r="Y29" i="2"/>
  <c r="AI22" i="2"/>
  <c r="AM33" i="2"/>
  <c r="X22" i="2"/>
  <c r="AB33" i="2"/>
  <c r="AM32" i="2"/>
  <c r="BE22" i="2"/>
  <c r="BI33" i="2"/>
  <c r="AJ29" i="2"/>
  <c r="AI30" i="2"/>
  <c r="AM36" i="2"/>
  <c r="AI34" i="2" s="1"/>
  <c r="AT22" i="2"/>
  <c r="AX33" i="2"/>
  <c r="BI24" i="2"/>
  <c r="BM24" i="2" s="1"/>
  <c r="AM24" i="2"/>
  <c r="AQ24" i="2" s="1"/>
  <c r="AB24" i="2"/>
  <c r="AF24" i="2" s="1"/>
  <c r="Q24" i="2"/>
  <c r="U24" i="2" s="1"/>
  <c r="AX24" i="2"/>
  <c r="P7" i="5"/>
  <c r="BB24" i="2"/>
  <c r="BI32" i="2"/>
  <c r="AU29" i="2"/>
  <c r="BF29" i="2"/>
  <c r="AB36" i="2"/>
  <c r="X34" i="2" s="1"/>
  <c r="X30" i="2"/>
  <c r="AF30" i="2"/>
  <c r="BM30" i="2"/>
  <c r="BB30" i="2"/>
  <c r="V7" i="5"/>
  <c r="B30" i="2"/>
  <c r="Z7" i="5"/>
  <c r="B21" i="2"/>
  <c r="AQ30" i="2"/>
  <c r="U31" i="2"/>
  <c r="U30" i="2"/>
  <c r="V9" i="5" s="1"/>
  <c r="U32" i="2"/>
  <c r="X9" i="5" s="1"/>
  <c r="M22" i="2"/>
  <c r="M24" i="2"/>
  <c r="B32" i="2"/>
  <c r="I35" i="2"/>
  <c r="M21" i="2"/>
  <c r="M23" i="2"/>
  <c r="I29" i="2"/>
  <c r="I36" i="2"/>
  <c r="B34" i="2" s="1"/>
  <c r="Q34" i="2"/>
  <c r="Q33" i="2"/>
  <c r="M31" i="2" s="1"/>
  <c r="F35" i="2"/>
  <c r="W13" i="5" l="1"/>
  <c r="W10" i="5"/>
  <c r="O13" i="5"/>
  <c r="BO22" i="2"/>
  <c r="N13" i="5"/>
  <c r="BD22" i="2"/>
  <c r="N12" i="5"/>
  <c r="AS22" i="2"/>
  <c r="N11" i="5"/>
  <c r="AH22" i="2"/>
  <c r="N10" i="5"/>
  <c r="BD30" i="2"/>
  <c r="V12" i="5"/>
  <c r="BD24" i="2"/>
  <c r="P12" i="5"/>
  <c r="AS30" i="2"/>
  <c r="V11" i="5"/>
  <c r="AH30" i="2"/>
  <c r="V10" i="5"/>
  <c r="BO24" i="2"/>
  <c r="P13" i="5"/>
  <c r="W31" i="2"/>
  <c r="W9" i="5"/>
  <c r="BO30" i="2"/>
  <c r="V13" i="5"/>
  <c r="AS24" i="2"/>
  <c r="P11" i="5"/>
  <c r="AH24" i="2"/>
  <c r="P10" i="5"/>
  <c r="W24" i="2"/>
  <c r="P9" i="5"/>
  <c r="AH26" i="2"/>
  <c r="R10" i="5"/>
  <c r="BE21" i="2"/>
  <c r="BF33" i="2"/>
  <c r="BE28" i="2"/>
  <c r="BI34" i="2"/>
  <c r="BM32" i="2"/>
  <c r="Y35" i="2"/>
  <c r="X31" i="2"/>
  <c r="Y33" i="2"/>
  <c r="X21" i="2"/>
  <c r="AX29" i="2"/>
  <c r="AT25" i="2" s="1"/>
  <c r="AT31" i="2"/>
  <c r="AU35" i="2"/>
  <c r="AJ33" i="2"/>
  <c r="AI21" i="2"/>
  <c r="AI28" i="2"/>
  <c r="AM34" i="2"/>
  <c r="AQ32" i="2"/>
  <c r="X28" i="2"/>
  <c r="AB34" i="2"/>
  <c r="AF32" i="2"/>
  <c r="AB29" i="2"/>
  <c r="X25" i="2" s="1"/>
  <c r="AT21" i="2"/>
  <c r="AU33" i="2"/>
  <c r="AI31" i="2"/>
  <c r="AJ35" i="2"/>
  <c r="AM29" i="2"/>
  <c r="AI25" i="2" s="1"/>
  <c r="BE31" i="2"/>
  <c r="BF35" i="2"/>
  <c r="AT28" i="2"/>
  <c r="AX34" i="2"/>
  <c r="BB32" i="2"/>
  <c r="BI29" i="2"/>
  <c r="BE25" i="2" s="1"/>
  <c r="AA7" i="5"/>
  <c r="U7" i="5"/>
  <c r="U34" i="2"/>
  <c r="W32" i="2"/>
  <c r="W22" i="2"/>
  <c r="B25" i="2"/>
  <c r="F33" i="2"/>
  <c r="M32" i="2"/>
  <c r="Q35" i="2"/>
  <c r="G39" i="2"/>
  <c r="N35" i="2"/>
  <c r="Q29" i="2"/>
  <c r="G38" i="2"/>
  <c r="Q36" i="2"/>
  <c r="AF29" i="2" l="1"/>
  <c r="U10" i="5" s="1"/>
  <c r="BB29" i="2"/>
  <c r="U12" i="5" s="1"/>
  <c r="AQ29" i="2"/>
  <c r="U11" i="5" s="1"/>
  <c r="BD32" i="2"/>
  <c r="X12" i="5"/>
  <c r="W34" i="2"/>
  <c r="Z9" i="5"/>
  <c r="BO32" i="2"/>
  <c r="X13" i="5"/>
  <c r="AH32" i="2"/>
  <c r="X10" i="5"/>
  <c r="AS32" i="2"/>
  <c r="X11" i="5"/>
  <c r="BM29" i="2"/>
  <c r="U13" i="5" s="1"/>
  <c r="AT32" i="2"/>
  <c r="AX35" i="2"/>
  <c r="BB34" i="2"/>
  <c r="AT29" i="2"/>
  <c r="AU36" i="2"/>
  <c r="AT33" i="2" s="1"/>
  <c r="BE32" i="2"/>
  <c r="BI35" i="2"/>
  <c r="BM35" i="2" s="1"/>
  <c r="BM34" i="2"/>
  <c r="AI29" i="2"/>
  <c r="AJ36" i="2"/>
  <c r="AI33" i="2" s="1"/>
  <c r="X32" i="2"/>
  <c r="AB35" i="2"/>
  <c r="AF34" i="2"/>
  <c r="AI32" i="2"/>
  <c r="AM35" i="2"/>
  <c r="AQ34" i="2"/>
  <c r="BE29" i="2"/>
  <c r="BF36" i="2"/>
  <c r="BE33" i="2" s="1"/>
  <c r="Y36" i="2"/>
  <c r="X33" i="2" s="1"/>
  <c r="X29" i="2"/>
  <c r="Y7" i="5"/>
  <c r="AQ33" i="2"/>
  <c r="BB33" i="2"/>
  <c r="BM33" i="2"/>
  <c r="AF33" i="2"/>
  <c r="BO29" i="2"/>
  <c r="AS29" i="2"/>
  <c r="AH29" i="2"/>
  <c r="M34" i="2"/>
  <c r="U35" i="2"/>
  <c r="AA9" i="5" s="1"/>
  <c r="U29" i="2"/>
  <c r="U9" i="5" s="1"/>
  <c r="N33" i="2"/>
  <c r="B29" i="2"/>
  <c r="F36" i="2"/>
  <c r="M25" i="2"/>
  <c r="BD29" i="2" l="1"/>
  <c r="BD33" i="2"/>
  <c r="Y12" i="5"/>
  <c r="BO34" i="2"/>
  <c r="Z13" i="5"/>
  <c r="AH34" i="2"/>
  <c r="Z10" i="5"/>
  <c r="AS33" i="2"/>
  <c r="Y11" i="5"/>
  <c r="AH33" i="2"/>
  <c r="Y10" i="5"/>
  <c r="BO33" i="2"/>
  <c r="Y13" i="5"/>
  <c r="AS34" i="2"/>
  <c r="Z11" i="5"/>
  <c r="BO35" i="2"/>
  <c r="AA13" i="5"/>
  <c r="BD34" i="2"/>
  <c r="Z12" i="5"/>
  <c r="AQ35" i="2"/>
  <c r="AF35" i="2"/>
  <c r="BB35" i="2"/>
  <c r="AI38" i="2"/>
  <c r="BE38" i="2"/>
  <c r="AT38" i="2"/>
  <c r="AB7" i="5"/>
  <c r="BM36" i="2"/>
  <c r="AB13" i="5" s="1"/>
  <c r="BB36" i="2"/>
  <c r="AB12" i="5" s="1"/>
  <c r="AQ36" i="2"/>
  <c r="AB11" i="5" s="1"/>
  <c r="BE39" i="2"/>
  <c r="AT39" i="2"/>
  <c r="AF36" i="2"/>
  <c r="AB10" i="5" s="1"/>
  <c r="X39" i="2"/>
  <c r="U33" i="2"/>
  <c r="M29" i="2"/>
  <c r="N36" i="2"/>
  <c r="W29" i="2"/>
  <c r="W30" i="2" s="1"/>
  <c r="W35" i="2"/>
  <c r="B33" i="2"/>
  <c r="X38" i="2"/>
  <c r="M38" i="2"/>
  <c r="AI39" i="2" l="1"/>
  <c r="BD35" i="2"/>
  <c r="AA12" i="5"/>
  <c r="AS35" i="2"/>
  <c r="AA11" i="5"/>
  <c r="W33" i="2"/>
  <c r="Y9" i="5"/>
  <c r="AH35" i="2"/>
  <c r="AA10" i="5"/>
  <c r="AS36" i="2"/>
  <c r="AQ5" i="2"/>
  <c r="J11" i="5" s="1"/>
  <c r="E11" i="5" s="1"/>
  <c r="AI40" i="2"/>
  <c r="L11" i="5" s="1"/>
  <c r="G11" i="5" s="1"/>
  <c r="BD36" i="2"/>
  <c r="AT40" i="2"/>
  <c r="L12" i="5" s="1"/>
  <c r="G12" i="5" s="1"/>
  <c r="BB5" i="2"/>
  <c r="J12" i="5" s="1"/>
  <c r="E12" i="5" s="1"/>
  <c r="AH36" i="2"/>
  <c r="AF5" i="2"/>
  <c r="X40" i="2"/>
  <c r="L10" i="5" s="1"/>
  <c r="G10" i="5" s="1"/>
  <c r="BO36" i="2"/>
  <c r="BE40" i="2"/>
  <c r="L13" i="5" s="1"/>
  <c r="BM5" i="2"/>
  <c r="J13" i="5" s="1"/>
  <c r="M39" i="2"/>
  <c r="U36" i="2"/>
  <c r="M33" i="2"/>
  <c r="AC12" i="2" l="1"/>
  <c r="AG5" i="2" s="1"/>
  <c r="BJ12" i="2"/>
  <c r="BN5" i="2" s="1"/>
  <c r="AN12" i="2"/>
  <c r="AR5" i="2" s="1"/>
  <c r="AY12" i="2"/>
  <c r="BC5" i="2" s="1"/>
  <c r="U5" i="2"/>
  <c r="J9" i="5" s="1"/>
  <c r="E9" i="5" s="1"/>
  <c r="AB9" i="5"/>
  <c r="J10" i="5"/>
  <c r="E10" i="5" s="1"/>
  <c r="M40" i="2"/>
  <c r="L9" i="5" s="1"/>
  <c r="G9" i="5" s="1"/>
  <c r="W36" i="2"/>
  <c r="R12" i="2" s="1"/>
  <c r="V5" i="2" s="1"/>
  <c r="F9" i="5" s="1"/>
  <c r="G13" i="5"/>
  <c r="E13" i="5"/>
  <c r="AN5" i="2" l="1"/>
  <c r="F11" i="5"/>
  <c r="D11" i="5" s="1"/>
  <c r="F13" i="5"/>
  <c r="D13" i="5" s="1"/>
  <c r="BJ5" i="2"/>
  <c r="F10" i="5"/>
  <c r="D10" i="5" s="1"/>
  <c r="AC5" i="2"/>
  <c r="D9" i="5"/>
  <c r="F12" i="5"/>
  <c r="D12" i="5" s="1"/>
  <c r="AY5" i="2"/>
  <c r="R5" i="2"/>
  <c r="B5" i="7" l="1"/>
  <c r="B6" i="7"/>
  <c r="B8" i="7"/>
  <c r="B9" i="7"/>
  <c r="B7" i="7"/>
  <c r="C7" i="7" l="1"/>
  <c r="C9" i="7"/>
  <c r="C8" i="7"/>
  <c r="C6" i="7"/>
  <c r="C5" i="7"/>
  <c r="D5" i="7" l="1"/>
  <c r="D9" i="7"/>
  <c r="D6" i="7"/>
  <c r="D8" i="7"/>
  <c r="D7" i="7"/>
  <c r="E5" i="7" l="1"/>
  <c r="F5" i="7" s="1"/>
  <c r="O5" i="2" s="1"/>
  <c r="E8" i="7"/>
  <c r="F8" i="7" s="1"/>
  <c r="AV5" i="2" s="1"/>
  <c r="E6" i="7"/>
  <c r="F6" i="7" s="1"/>
  <c r="E9" i="7"/>
  <c r="F9" i="7" s="1"/>
  <c r="BG5" i="2" s="1"/>
  <c r="E7" i="7"/>
  <c r="F7" i="7" s="1"/>
  <c r="AK5" i="2" s="1"/>
  <c r="Z5" i="2" l="1"/>
  <c r="C11" i="6" l="1"/>
  <c r="K11" i="6" s="1"/>
  <c r="C14" i="6"/>
  <c r="G14" i="6" s="1"/>
  <c r="C12" i="6"/>
  <c r="L12" i="6" s="1"/>
  <c r="C13" i="6"/>
  <c r="L13" i="6" s="1"/>
  <c r="C10" i="6"/>
  <c r="J14" i="6" l="1"/>
  <c r="I14" i="6"/>
  <c r="D14" i="6"/>
  <c r="F14" i="6"/>
  <c r="L14" i="6"/>
  <c r="H14" i="6"/>
  <c r="K14" i="6"/>
  <c r="E14" i="6"/>
  <c r="L11" i="6"/>
  <c r="I11" i="6"/>
  <c r="D11" i="6"/>
  <c r="F11" i="6"/>
  <c r="E11" i="6"/>
  <c r="G11" i="6"/>
  <c r="J11" i="6"/>
  <c r="H11" i="6"/>
  <c r="D12" i="6"/>
  <c r="H12" i="6"/>
  <c r="I12" i="6"/>
  <c r="G12" i="6"/>
  <c r="F12" i="6"/>
  <c r="H13" i="6"/>
  <c r="G13" i="6"/>
  <c r="K12" i="6"/>
  <c r="E12" i="6"/>
  <c r="J12" i="6"/>
  <c r="K13" i="6"/>
  <c r="E13" i="6"/>
  <c r="D13" i="6"/>
  <c r="I13" i="6"/>
  <c r="J13" i="6"/>
  <c r="F13" i="6"/>
  <c r="F10" i="6"/>
  <c r="I10" i="6"/>
  <c r="H10" i="6"/>
  <c r="E10" i="6"/>
  <c r="L10" i="6"/>
  <c r="G10" i="6"/>
  <c r="D10" i="6"/>
  <c r="K10" i="6"/>
  <c r="J10" i="6"/>
</calcChain>
</file>

<file path=xl/sharedStrings.xml><?xml version="1.0" encoding="utf-8"?>
<sst xmlns="http://schemas.openxmlformats.org/spreadsheetml/2006/main" count="323" uniqueCount="163">
  <si>
    <t>WORLD CUP 2018 OFFICE POOL</t>
  </si>
  <si>
    <t>Knock Out Stages Prediction</t>
  </si>
  <si>
    <t>Point System - Full Time (Normal Time + Extra Time)</t>
  </si>
  <si>
    <t>ROUND OF 16</t>
  </si>
  <si>
    <t>QUARTER FINAL</t>
  </si>
  <si>
    <t>SEMI FINAL</t>
  </si>
  <si>
    <t>THIRD PLACE</t>
  </si>
  <si>
    <t>FINAL</t>
  </si>
  <si>
    <t>Point System - Penalty Shoot Out (All Knock Out Rounds)</t>
  </si>
  <si>
    <t>Bonus Point</t>
  </si>
  <si>
    <t>Point</t>
  </si>
  <si>
    <t>Leaderboard Policy</t>
  </si>
  <si>
    <t>BONUS</t>
  </si>
  <si>
    <t>PENALTY</t>
  </si>
  <si>
    <t>Group Stages</t>
  </si>
  <si>
    <t>Group</t>
  </si>
  <si>
    <t>A</t>
  </si>
  <si>
    <t>Russia</t>
  </si>
  <si>
    <t>Uruguay</t>
  </si>
  <si>
    <t>B</t>
  </si>
  <si>
    <t>Portugal</t>
  </si>
  <si>
    <t>Spain</t>
  </si>
  <si>
    <t>C</t>
  </si>
  <si>
    <t>France</t>
  </si>
  <si>
    <t>Denmark</t>
  </si>
  <si>
    <t>D</t>
  </si>
  <si>
    <t>Argentina</t>
  </si>
  <si>
    <t>Croatia</t>
  </si>
  <si>
    <t>E</t>
  </si>
  <si>
    <t>F</t>
  </si>
  <si>
    <t>G</t>
  </si>
  <si>
    <t>H</t>
  </si>
  <si>
    <t>Knock Out Stages</t>
  </si>
  <si>
    <t>Winner</t>
  </si>
  <si>
    <t>Runner Up</t>
  </si>
  <si>
    <t>R16</t>
  </si>
  <si>
    <t>QF</t>
  </si>
  <si>
    <t>SF</t>
  </si>
  <si>
    <t>3rd</t>
  </si>
  <si>
    <t>CHAMPION</t>
  </si>
  <si>
    <t>Player</t>
  </si>
  <si>
    <t>Current Rank</t>
  </si>
  <si>
    <t>Bonus</t>
  </si>
  <si>
    <t>Total</t>
  </si>
  <si>
    <t>PSO</t>
  </si>
  <si>
    <t>No</t>
  </si>
  <si>
    <t>Final Rank</t>
  </si>
  <si>
    <t>2nd Place</t>
  </si>
  <si>
    <t>3rd Place</t>
  </si>
  <si>
    <t>© 2018 - exceltemplate.NET</t>
  </si>
  <si>
    <t>PLAYER SCOREBOARD</t>
  </si>
  <si>
    <t>Round of 16</t>
  </si>
  <si>
    <t>Quarter Final</t>
  </si>
  <si>
    <t>Semifinal</t>
  </si>
  <si>
    <t>Player Name</t>
  </si>
  <si>
    <t>Total Points</t>
  </si>
  <si>
    <t>Total Match Point</t>
  </si>
  <si>
    <t>Total Bonus Point</t>
  </si>
  <si>
    <t>Total Correct Prediction</t>
  </si>
  <si>
    <t>Player 1</t>
  </si>
  <si>
    <t>Player 2</t>
  </si>
  <si>
    <t>Player 3</t>
  </si>
  <si>
    <t>Player 4</t>
  </si>
  <si>
    <t>Player 5</t>
  </si>
  <si>
    <t>Dummy worksheet for Leaderboard standing calculation</t>
  </si>
  <si>
    <t>Rank Based on Correct Prediction</t>
  </si>
  <si>
    <t>Rank Based on Entry Order</t>
  </si>
  <si>
    <t>Name</t>
  </si>
  <si>
    <t>PLAYER LEADERBOARD</t>
  </si>
  <si>
    <t>© 2018 - Exceltemplate.NET</t>
  </si>
  <si>
    <t>TOURNAMENT'S ACTUAL RESULTS</t>
  </si>
  <si>
    <t>FT</t>
  </si>
  <si>
    <t>u</t>
  </si>
  <si>
    <t>Match Points</t>
  </si>
  <si>
    <t>Bonus Points</t>
  </si>
  <si>
    <t>Correct Prediction</t>
  </si>
  <si>
    <t>Notes :</t>
  </si>
  <si>
    <t>All matches are sorted based on FIFA World Cup match number</t>
  </si>
  <si>
    <t>Some matches with greater match number shall be played ahead of lower match number</t>
  </si>
  <si>
    <t>Check your score input, incorrect score input will make an error in Excel formula calculation</t>
  </si>
  <si>
    <t>PSO (Penalty Shoot Out score boxes will be shown automatically for respective matches if there are no winners in FULL TIME regulation</t>
  </si>
  <si>
    <t>Input full time score results (Normal Time + Extra Time) in FT score boxes in knock out round matches</t>
  </si>
  <si>
    <t>No timezone and language translation options available</t>
  </si>
  <si>
    <t>You can change the date manuallly in tournament actual result table above</t>
  </si>
  <si>
    <t>Best Player (Golden Shoe Award)</t>
  </si>
  <si>
    <t>Top Scorer (Golden Boot Award)</t>
  </si>
  <si>
    <t>Best Player</t>
  </si>
  <si>
    <t>Top Scorer</t>
  </si>
  <si>
    <t>Best Player Table</t>
  </si>
  <si>
    <t>Top Scorer Table</t>
  </si>
  <si>
    <t>You need to type players name in this table first before selecting it in all players prediction board to avoid any mistyping that can lead to incorrect bonus calculation</t>
  </si>
  <si>
    <t>There are 101 line in each tables. It is related with maximum 100 picks from 100 players (if each player pick different player name) and 1 cell for best player/top scorer if none of your player's picks are correct</t>
  </si>
  <si>
    <t>Neymar (Brazil)</t>
  </si>
  <si>
    <t>Lionel Messi (Argentina)</t>
  </si>
  <si>
    <t>Cristiano Ronaldo (Portugal)</t>
  </si>
  <si>
    <t>Harry Kane (England)</t>
  </si>
  <si>
    <t>Eden Hazard (Belgium)</t>
  </si>
  <si>
    <t>Robert Lewandowski (Poland)</t>
  </si>
  <si>
    <t>Luis Suarez (Uruguay)</t>
  </si>
  <si>
    <t>Mohamed Salah (Egypt)</t>
  </si>
  <si>
    <t>Raheem Sterling (England)</t>
  </si>
  <si>
    <t>Sergio Aguero (Argentina)</t>
  </si>
  <si>
    <t>Romelo Lukaku (Belgium)</t>
  </si>
  <si>
    <t>Edinson Cavani (Uruguay)</t>
  </si>
  <si>
    <t>Roberto Firmino (Brazil)</t>
  </si>
  <si>
    <t>Kylian Mbappe (France)</t>
  </si>
  <si>
    <t>Thomas Muller (Germany)</t>
  </si>
  <si>
    <t>Tony Kroos (Germany)</t>
  </si>
  <si>
    <t>Sadio Mane (Senegal)</t>
  </si>
  <si>
    <t>Yes</t>
  </si>
  <si>
    <t xml:space="preserve">4. Player's Entry Order in Player Scoreboard </t>
  </si>
  <si>
    <t>Rank Based on Total Match Points</t>
  </si>
  <si>
    <t>Rank Based on Total Match + Bonus Points</t>
  </si>
  <si>
    <t>All players will be ranked by</t>
  </si>
  <si>
    <t>KNOCK OUT ROUNDS</t>
  </si>
  <si>
    <t>F Winner</t>
  </si>
  <si>
    <t>G Winner</t>
  </si>
  <si>
    <t>H Winner</t>
  </si>
  <si>
    <t>F Runner Up</t>
  </si>
  <si>
    <t>G Runner Up</t>
  </si>
  <si>
    <t>H Runner Up</t>
  </si>
  <si>
    <t>Correct Quarterfinalists</t>
  </si>
  <si>
    <t>Correct Finalists</t>
  </si>
  <si>
    <t>Correct Semifinalists</t>
  </si>
  <si>
    <t>Pairing Teams for Quarterfinals - Final (Actual or Prediction)</t>
  </si>
  <si>
    <t>Penalty Shoot Out Points Calculation Activation</t>
  </si>
  <si>
    <t>Player's Prediction</t>
  </si>
  <si>
    <t>Points Applied to Winning Teams regardless of who their opponents are (for player's prediction option)</t>
  </si>
  <si>
    <t>1. Correct number of quarterfinalists : 8</t>
  </si>
  <si>
    <t>2. Correct number of quarterfinalists : 5 - 7</t>
  </si>
  <si>
    <t>3. Correct number of quarterfinalists : 2 - 4</t>
  </si>
  <si>
    <t>4. Correct number of semifinalists : 4</t>
  </si>
  <si>
    <t>5. Correct number of semifinalists : 2 - 3</t>
  </si>
  <si>
    <t>6. Correct number of finalists : 2</t>
  </si>
  <si>
    <t>Most Consecutive Correct Prediction</t>
  </si>
  <si>
    <t>9. Most consecutive correct match result prediction : 2 - 6</t>
  </si>
  <si>
    <t>8. Most consecutive correct match result prediction : 7 - 11</t>
  </si>
  <si>
    <t>7. Most consecutive correct match result prediction : 12 - 16</t>
  </si>
  <si>
    <t>10. Correct match winning team regardless of the opponent</t>
  </si>
  <si>
    <t>11. Correct match winning team regardless of length of game duration</t>
  </si>
  <si>
    <t>12. Champion correct prediction</t>
  </si>
  <si>
    <t>13. 2nd Place correct prediction</t>
  </si>
  <si>
    <t>14. 3rd Place correct prediction</t>
  </si>
  <si>
    <t>15. Best Player correct prediction</t>
  </si>
  <si>
    <t>16. Top Scorer correct prediction</t>
  </si>
  <si>
    <t>1. Points earned on all matches + Bonus Points</t>
  </si>
  <si>
    <t>2. Number of Correct Score Prediction Matches</t>
  </si>
  <si>
    <t>3. Points earned on all matches</t>
  </si>
  <si>
    <t>Match</t>
  </si>
  <si>
    <t>no</t>
  </si>
  <si>
    <t>You can change the country's name to your own language by replacing their names in the Group Standing Table above (cell F9:I16)</t>
  </si>
  <si>
    <t>Color Code</t>
  </si>
  <si>
    <t>Cell with white color : Fill with scores or select from dropdown list</t>
  </si>
  <si>
    <t>Cell color other than white are not recommended to be filled</t>
  </si>
  <si>
    <t>o Correct match result | correct goal result</t>
  </si>
  <si>
    <t>o Correct match result | correct goal difference result</t>
  </si>
  <si>
    <t>o Correct match result | incorrect goal result | incorrect goal difference</t>
  </si>
  <si>
    <t>Points</t>
  </si>
  <si>
    <t>Sweden</t>
  </si>
  <si>
    <t>Mexico</t>
  </si>
  <si>
    <t>AVAILABLE IN PAID VERSION ONLY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</si>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</sst>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color theme="0"/>
      <name val="Wingdings 3"/>
      <family val="1"/>
      <charset val="2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8"/>
      <color theme="1"/>
      <name val="Wingdings 3"/>
      <family val="1"/>
      <charset val="2"/>
    </font>
    <font>
      <i/>
      <sz val="11"/>
      <color theme="1"/>
      <name val="Calibri"/>
      <family val="2"/>
      <scheme val="minor"/>
    </font>
    <font>
      <sz val="10"/>
      <color rgb="FF7030A0"/>
      <name val="Wingdings 3"/>
      <family val="1"/>
      <charset val="2"/>
    </font>
    <font>
      <sz val="11"/>
      <color rgb="FFFF000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8"/>
      <color theme="1" tint="0.499984740745262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67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medium">
        <color theme="9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/>
      <top/>
      <bottom style="thin">
        <color theme="3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6" tint="-0.499984740745262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theme="6" tint="-0.499984740745262"/>
      </bottom>
      <diagonal/>
    </border>
    <border>
      <left style="thin">
        <color rgb="FF002060"/>
      </left>
      <right style="thin">
        <color rgb="FF002060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rgb="FF002060"/>
      </left>
      <right style="thin">
        <color rgb="FF002060"/>
      </right>
      <top style="thin">
        <color theme="3" tint="-0.499984740745262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theme="3" tint="-0.499984740745262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0" tint="-4.9989318521683403E-2"/>
      </bottom>
      <diagonal/>
    </border>
    <border>
      <left/>
      <right style="thin">
        <color theme="3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3" tint="-0.499984740745262"/>
      </right>
      <top style="thin">
        <color theme="0" tint="-4.9989318521683403E-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0" tint="-4.9989318521683403E-2"/>
      </bottom>
      <diagonal/>
    </border>
    <border>
      <left style="thin">
        <color theme="3" tint="-0.49998474074526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3" tint="-0.499984740745262"/>
      </left>
      <right/>
      <top style="thin">
        <color theme="0" tint="-4.9989318521683403E-2"/>
      </top>
      <bottom style="thin">
        <color theme="3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0" tint="-4.9989318521683403E-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0" tint="-4.9989318521683403E-2"/>
      </top>
      <bottom style="thin">
        <color theme="6" tint="-0.499984740745262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6" fillId="0" borderId="0"/>
    <xf numFmtId="0" fontId="26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 indent="1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0" fillId="2" borderId="0" xfId="0" applyFill="1" applyBorder="1" applyAlignment="1" applyProtection="1">
      <alignment horizontal="right" vertical="center" indent="1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left" vertical="center" indent="1"/>
      <protection hidden="1"/>
    </xf>
    <xf numFmtId="0" fontId="0" fillId="2" borderId="36" xfId="0" applyFill="1" applyBorder="1" applyAlignment="1" applyProtection="1">
      <alignment vertical="center"/>
      <protection hidden="1"/>
    </xf>
    <xf numFmtId="0" fontId="6" fillId="2" borderId="7" xfId="0" applyFont="1" applyFill="1" applyBorder="1" applyAlignment="1" applyProtection="1">
      <alignment horizontal="left" vertical="center" indent="1"/>
      <protection hidden="1"/>
    </xf>
    <xf numFmtId="0" fontId="11" fillId="7" borderId="7" xfId="0" applyFont="1" applyFill="1" applyBorder="1" applyAlignment="1" applyProtection="1">
      <alignment horizontal="center" vertical="center"/>
      <protection hidden="1"/>
    </xf>
    <xf numFmtId="0" fontId="6" fillId="2" borderId="36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2" borderId="13" xfId="0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0" fillId="6" borderId="33" xfId="0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164" fontId="0" fillId="6" borderId="0" xfId="0" applyNumberFormat="1" applyFill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right" vertical="center" indent="1"/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horizontal="left" vertical="center" indent="1"/>
      <protection hidden="1"/>
    </xf>
    <xf numFmtId="0" fontId="10" fillId="2" borderId="35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3" fillId="9" borderId="3" xfId="0" applyFont="1" applyFill="1" applyBorder="1" applyAlignment="1" applyProtection="1">
      <alignment horizontal="right" vertical="center" indent="1"/>
      <protection hidden="1"/>
    </xf>
    <xf numFmtId="0" fontId="3" fillId="9" borderId="3" xfId="0" applyFont="1" applyFill="1" applyBorder="1" applyAlignment="1" applyProtection="1">
      <alignment horizontal="left" vertical="center" indent="1"/>
      <protection hidden="1"/>
    </xf>
    <xf numFmtId="0" fontId="0" fillId="2" borderId="14" xfId="0" applyFill="1" applyBorder="1" applyAlignment="1" applyProtection="1">
      <alignment horizontal="right" vertical="center" indent="1"/>
      <protection hidden="1"/>
    </xf>
    <xf numFmtId="0" fontId="0" fillId="2" borderId="14" xfId="0" applyFill="1" applyBorder="1" applyAlignment="1" applyProtection="1">
      <alignment horizontal="left" vertical="center" indent="1"/>
      <protection hidden="1"/>
    </xf>
    <xf numFmtId="0" fontId="0" fillId="6" borderId="32" xfId="0" applyFill="1" applyBorder="1" applyAlignment="1" applyProtection="1">
      <alignment horizontal="right" vertical="center" indent="1"/>
      <protection hidden="1"/>
    </xf>
    <xf numFmtId="0" fontId="0" fillId="6" borderId="32" xfId="0" applyFill="1" applyBorder="1" applyAlignment="1" applyProtection="1">
      <alignment horizontal="left" vertical="center" indent="1"/>
      <protection hidden="1"/>
    </xf>
    <xf numFmtId="0" fontId="0" fillId="6" borderId="34" xfId="0" applyFill="1" applyBorder="1" applyAlignment="1" applyProtection="1">
      <alignment horizontal="right" vertical="center" indent="1"/>
      <protection hidden="1"/>
    </xf>
    <xf numFmtId="0" fontId="0" fillId="6" borderId="34" xfId="0" applyFill="1" applyBorder="1" applyAlignment="1" applyProtection="1">
      <alignment horizontal="left" vertical="center" indent="1"/>
      <protection hidden="1"/>
    </xf>
    <xf numFmtId="0" fontId="0" fillId="2" borderId="5" xfId="0" applyFill="1" applyBorder="1" applyAlignment="1" applyProtection="1">
      <alignment horizontal="right" vertical="center" indent="1"/>
      <protection hidden="1"/>
    </xf>
    <xf numFmtId="0" fontId="0" fillId="2" borderId="5" xfId="0" applyFill="1" applyBorder="1" applyAlignment="1" applyProtection="1">
      <alignment horizontal="left" vertical="center" indent="1"/>
      <protection hidden="1"/>
    </xf>
    <xf numFmtId="0" fontId="0" fillId="2" borderId="6" xfId="0" applyFill="1" applyBorder="1" applyAlignment="1" applyProtection="1">
      <alignment horizontal="right" vertical="center" indent="1"/>
      <protection hidden="1"/>
    </xf>
    <xf numFmtId="0" fontId="0" fillId="2" borderId="6" xfId="0" applyFill="1" applyBorder="1" applyAlignment="1" applyProtection="1">
      <alignment horizontal="left" vertical="center" indent="1"/>
      <protection hidden="1"/>
    </xf>
    <xf numFmtId="0" fontId="0" fillId="6" borderId="42" xfId="0" applyFill="1" applyBorder="1" applyAlignment="1" applyProtection="1">
      <alignment horizontal="right" vertical="center" indent="1"/>
      <protection hidden="1"/>
    </xf>
    <xf numFmtId="0" fontId="0" fillId="6" borderId="42" xfId="0" applyFill="1" applyBorder="1" applyAlignment="1" applyProtection="1">
      <alignment horizontal="left" vertical="center" indent="1"/>
      <protection hidden="1"/>
    </xf>
    <xf numFmtId="0" fontId="1" fillId="3" borderId="55" xfId="0" applyFont="1" applyFill="1" applyBorder="1" applyAlignment="1" applyProtection="1">
      <alignment horizontal="right" vertical="center" indent="1"/>
      <protection hidden="1"/>
    </xf>
    <xf numFmtId="0" fontId="1" fillId="3" borderId="52" xfId="0" applyFont="1" applyFill="1" applyBorder="1" applyAlignment="1" applyProtection="1">
      <alignment horizontal="right" vertical="center" indent="1"/>
      <protection hidden="1"/>
    </xf>
    <xf numFmtId="0" fontId="1" fillId="7" borderId="7" xfId="0" applyFont="1" applyFill="1" applyBorder="1" applyAlignment="1" applyProtection="1">
      <alignment horizontal="right" vertical="center" indent="1"/>
      <protection hidden="1"/>
    </xf>
    <xf numFmtId="0" fontId="3" fillId="3" borderId="56" xfId="0" applyFont="1" applyFill="1" applyBorder="1" applyAlignment="1" applyProtection="1">
      <alignment horizontal="right" vertical="center" indent="1"/>
      <protection hidden="1"/>
    </xf>
    <xf numFmtId="0" fontId="3" fillId="3" borderId="53" xfId="0" applyFont="1" applyFill="1" applyBorder="1" applyAlignment="1" applyProtection="1">
      <alignment horizontal="right" vertical="center" indent="1"/>
      <protection hidden="1"/>
    </xf>
    <xf numFmtId="0" fontId="3" fillId="7" borderId="7" xfId="0" applyFont="1" applyFill="1" applyBorder="1" applyAlignment="1" applyProtection="1">
      <alignment horizontal="right" vertical="center" indent="1"/>
      <protection hidden="1"/>
    </xf>
    <xf numFmtId="0" fontId="3" fillId="3" borderId="57" xfId="0" applyFont="1" applyFill="1" applyBorder="1" applyAlignment="1" applyProtection="1">
      <alignment horizontal="right" vertical="center" indent="1"/>
      <protection hidden="1"/>
    </xf>
    <xf numFmtId="0" fontId="3" fillId="3" borderId="54" xfId="0" applyFont="1" applyFill="1" applyBorder="1" applyAlignment="1" applyProtection="1">
      <alignment horizontal="right" vertical="center" indent="1"/>
      <protection hidden="1"/>
    </xf>
    <xf numFmtId="164" fontId="3" fillId="17" borderId="58" xfId="0" applyNumberFormat="1" applyFont="1" applyFill="1" applyBorder="1" applyAlignment="1" applyProtection="1">
      <alignment horizontal="center" vertical="center"/>
      <protection hidden="1"/>
    </xf>
    <xf numFmtId="0" fontId="3" fillId="17" borderId="58" xfId="0" applyFont="1" applyFill="1" applyBorder="1" applyAlignment="1" applyProtection="1">
      <alignment horizontal="right" vertical="center" indent="1"/>
      <protection hidden="1"/>
    </xf>
    <xf numFmtId="0" fontId="3" fillId="19" borderId="58" xfId="0" applyFont="1" applyFill="1" applyBorder="1" applyAlignment="1" applyProtection="1">
      <alignment horizontal="right" vertical="center"/>
      <protection hidden="1"/>
    </xf>
    <xf numFmtId="164" fontId="3" fillId="17" borderId="59" xfId="0" applyNumberFormat="1" applyFont="1" applyFill="1" applyBorder="1" applyAlignment="1" applyProtection="1">
      <alignment horizontal="center" vertical="center"/>
      <protection hidden="1"/>
    </xf>
    <xf numFmtId="0" fontId="3" fillId="17" borderId="59" xfId="0" applyFont="1" applyFill="1" applyBorder="1" applyAlignment="1" applyProtection="1">
      <alignment horizontal="right" vertical="center" indent="1"/>
      <protection hidden="1"/>
    </xf>
    <xf numFmtId="0" fontId="3" fillId="19" borderId="59" xfId="0" applyFont="1" applyFill="1" applyBorder="1" applyAlignment="1" applyProtection="1">
      <alignment horizontal="right" vertical="center"/>
      <protection hidden="1"/>
    </xf>
    <xf numFmtId="0" fontId="3" fillId="4" borderId="50" xfId="0" applyFont="1" applyFill="1" applyBorder="1" applyAlignment="1" applyProtection="1">
      <alignment vertical="center"/>
      <protection hidden="1"/>
    </xf>
    <xf numFmtId="0" fontId="3" fillId="4" borderId="42" xfId="0" applyFont="1" applyFill="1" applyBorder="1" applyAlignment="1" applyProtection="1">
      <alignment horizontal="center" vertical="center"/>
      <protection hidden="1"/>
    </xf>
    <xf numFmtId="164" fontId="3" fillId="4" borderId="42" xfId="0" applyNumberFormat="1" applyFont="1" applyFill="1" applyBorder="1" applyAlignment="1" applyProtection="1">
      <alignment horizontal="center" vertical="center"/>
      <protection hidden="1"/>
    </xf>
    <xf numFmtId="0" fontId="3" fillId="4" borderId="42" xfId="0" applyFont="1" applyFill="1" applyBorder="1" applyAlignment="1" applyProtection="1">
      <alignment horizontal="right" vertical="center" indent="1"/>
      <protection hidden="1"/>
    </xf>
    <xf numFmtId="0" fontId="3" fillId="4" borderId="42" xfId="0" applyFont="1" applyFill="1" applyBorder="1" applyAlignment="1" applyProtection="1">
      <alignment vertical="center"/>
      <protection hidden="1"/>
    </xf>
    <xf numFmtId="0" fontId="3" fillId="4" borderId="42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0" fillId="13" borderId="0" xfId="0" applyFill="1" applyAlignment="1" applyProtection="1">
      <alignment vertical="center"/>
      <protection hidden="1"/>
    </xf>
    <xf numFmtId="0" fontId="0" fillId="15" borderId="2" xfId="0" applyFill="1" applyBorder="1" applyAlignment="1" applyProtection="1">
      <alignment horizontal="center" vertical="center"/>
      <protection locked="0"/>
    </xf>
    <xf numFmtId="0" fontId="0" fillId="15" borderId="37" xfId="0" applyFill="1" applyBorder="1" applyAlignment="1" applyProtection="1">
      <alignment horizontal="center" vertical="center"/>
      <protection locked="0"/>
    </xf>
    <xf numFmtId="0" fontId="0" fillId="15" borderId="43" xfId="0" applyFill="1" applyBorder="1" applyAlignment="1" applyProtection="1">
      <alignment horizontal="center" vertical="center"/>
      <protection locked="0"/>
    </xf>
    <xf numFmtId="0" fontId="0" fillId="15" borderId="44" xfId="0" applyFill="1" applyBorder="1" applyAlignment="1" applyProtection="1">
      <alignment horizontal="center" vertical="center"/>
      <protection locked="0"/>
    </xf>
    <xf numFmtId="0" fontId="0" fillId="15" borderId="45" xfId="0" applyFill="1" applyBorder="1" applyAlignment="1" applyProtection="1">
      <alignment horizontal="center" vertical="center"/>
      <protection locked="0"/>
    </xf>
    <xf numFmtId="0" fontId="0" fillId="15" borderId="46" xfId="0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15" borderId="39" xfId="0" applyFill="1" applyBorder="1" applyAlignment="1" applyProtection="1">
      <alignment horizontal="center" vertical="center"/>
      <protection locked="0"/>
    </xf>
    <xf numFmtId="0" fontId="0" fillId="15" borderId="40" xfId="0" applyFill="1" applyBorder="1" applyAlignment="1" applyProtection="1">
      <alignment horizontal="center" vertical="center"/>
      <protection locked="0"/>
    </xf>
    <xf numFmtId="0" fontId="0" fillId="15" borderId="38" xfId="0" applyFill="1" applyBorder="1" applyAlignment="1" applyProtection="1">
      <alignment horizontal="center" vertical="center"/>
      <protection locked="0"/>
    </xf>
    <xf numFmtId="0" fontId="0" fillId="15" borderId="41" xfId="0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6" fillId="9" borderId="0" xfId="0" applyFont="1" applyFill="1" applyAlignment="1" applyProtection="1">
      <alignment vertical="center"/>
      <protection hidden="1"/>
    </xf>
    <xf numFmtId="0" fontId="4" fillId="9" borderId="0" xfId="0" applyFont="1" applyFill="1" applyAlignment="1" applyProtection="1">
      <alignment vertical="center"/>
      <protection hidden="1"/>
    </xf>
    <xf numFmtId="0" fontId="12" fillId="5" borderId="0" xfId="0" applyFont="1" applyFill="1" applyAlignment="1" applyProtection="1">
      <alignment vertical="center"/>
      <protection hidden="1"/>
    </xf>
    <xf numFmtId="0" fontId="0" fillId="5" borderId="20" xfId="0" applyFill="1" applyBorder="1" applyAlignment="1" applyProtection="1">
      <alignment vertical="center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0" xfId="0" applyFill="1" applyAlignment="1" applyProtection="1">
      <alignment vertical="center"/>
      <protection hidden="1"/>
    </xf>
    <xf numFmtId="0" fontId="1" fillId="9" borderId="0" xfId="0" applyFont="1" applyFill="1" applyAlignment="1" applyProtection="1">
      <alignment vertical="center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vertical="center"/>
      <protection hidden="1"/>
    </xf>
    <xf numFmtId="0" fontId="0" fillId="13" borderId="22" xfId="0" applyFill="1" applyBorder="1" applyAlignment="1" applyProtection="1">
      <alignment vertical="center"/>
      <protection hidden="1"/>
    </xf>
    <xf numFmtId="0" fontId="0" fillId="9" borderId="0" xfId="0" applyFill="1" applyAlignment="1" applyProtection="1">
      <alignment vertical="center"/>
      <protection hidden="1"/>
    </xf>
    <xf numFmtId="0" fontId="0" fillId="5" borderId="0" xfId="0" applyFill="1" applyAlignment="1" applyProtection="1">
      <alignment vertical="center" wrapText="1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7" borderId="29" xfId="0" applyFont="1" applyFill="1" applyBorder="1" applyAlignment="1" applyProtection="1">
      <alignment vertical="center"/>
      <protection hidden="1"/>
    </xf>
    <xf numFmtId="0" fontId="1" fillId="7" borderId="3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15" fillId="7" borderId="0" xfId="0" applyFont="1" applyFill="1" applyBorder="1" applyAlignment="1" applyProtection="1">
      <alignment vertical="center"/>
      <protection hidden="1"/>
    </xf>
    <xf numFmtId="0" fontId="3" fillId="7" borderId="25" xfId="0" applyFont="1" applyFill="1" applyBorder="1" applyAlignment="1" applyProtection="1">
      <alignment vertical="center"/>
      <protection hidden="1"/>
    </xf>
    <xf numFmtId="0" fontId="3" fillId="7" borderId="26" xfId="0" applyFont="1" applyFill="1" applyBorder="1" applyAlignment="1" applyProtection="1">
      <alignment vertical="center"/>
      <protection hidden="1"/>
    </xf>
    <xf numFmtId="0" fontId="3" fillId="7" borderId="27" xfId="0" applyFont="1" applyFill="1" applyBorder="1" applyAlignment="1" applyProtection="1">
      <alignment vertical="center"/>
      <protection hidden="1"/>
    </xf>
    <xf numFmtId="0" fontId="3" fillId="7" borderId="24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7" borderId="24" xfId="0" applyFont="1" applyFill="1" applyBorder="1" applyAlignment="1" applyProtection="1">
      <alignment horizontal="center" vertical="center" wrapText="1"/>
      <protection hidden="1"/>
    </xf>
    <xf numFmtId="1" fontId="3" fillId="7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14" borderId="24" xfId="0" applyFill="1" applyBorder="1" applyAlignment="1" applyProtection="1">
      <alignment horizontal="center" vertical="center"/>
      <protection hidden="1"/>
    </xf>
    <xf numFmtId="3" fontId="0" fillId="14" borderId="24" xfId="0" applyNumberFormat="1" applyFill="1" applyBorder="1" applyAlignment="1" applyProtection="1">
      <alignment horizontal="center" vertical="center"/>
      <protection hidden="1"/>
    </xf>
    <xf numFmtId="1" fontId="0" fillId="14" borderId="24" xfId="0" applyNumberFormat="1" applyFill="1" applyBorder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left" vertical="center"/>
      <protection hidden="1"/>
    </xf>
    <xf numFmtId="0" fontId="3" fillId="7" borderId="0" xfId="0" applyFont="1" applyFill="1" applyProtection="1">
      <protection hidden="1"/>
    </xf>
    <xf numFmtId="0" fontId="7" fillId="11" borderId="24" xfId="0" applyFont="1" applyFill="1" applyBorder="1" applyProtection="1">
      <protection locked="0"/>
    </xf>
    <xf numFmtId="0" fontId="0" fillId="14" borderId="24" xfId="0" applyFill="1" applyBorder="1" applyProtection="1">
      <protection hidden="1"/>
    </xf>
    <xf numFmtId="0" fontId="0" fillId="7" borderId="0" xfId="0" applyFill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0" fillId="18" borderId="3" xfId="0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locked="0"/>
    </xf>
    <xf numFmtId="0" fontId="3" fillId="17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3" fillId="9" borderId="0" xfId="0" applyFont="1" applyFill="1" applyAlignment="1">
      <alignment vertical="center"/>
    </xf>
    <xf numFmtId="0" fontId="3" fillId="9" borderId="0" xfId="0" applyFont="1" applyFill="1" applyAlignment="1">
      <alignment horizontal="left" vertical="center"/>
    </xf>
    <xf numFmtId="0" fontId="3" fillId="9" borderId="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left" vertical="center" inden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4" borderId="34" xfId="0" applyFont="1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1" fillId="7" borderId="0" xfId="0" applyFont="1" applyFill="1" applyBorder="1" applyAlignment="1" applyProtection="1">
      <alignment horizontal="center" vertical="center"/>
      <protection hidden="1"/>
    </xf>
    <xf numFmtId="0" fontId="3" fillId="7" borderId="24" xfId="0" applyFont="1" applyFill="1" applyBorder="1" applyAlignment="1" applyProtection="1">
      <alignment horizontal="center" vertical="center" wrapText="1"/>
      <protection hidden="1"/>
    </xf>
    <xf numFmtId="0" fontId="8" fillId="7" borderId="29" xfId="0" applyFont="1" applyFill="1" applyBorder="1" applyAlignment="1" applyProtection="1">
      <alignment vertical="center"/>
      <protection hidden="1"/>
    </xf>
    <xf numFmtId="0" fontId="0" fillId="9" borderId="33" xfId="0" applyFill="1" applyBorder="1" applyAlignment="1" applyProtection="1">
      <alignment vertical="center"/>
      <protection hidden="1"/>
    </xf>
    <xf numFmtId="0" fontId="0" fillId="9" borderId="0" xfId="0" applyFill="1" applyBorder="1" applyAlignment="1" applyProtection="1">
      <alignment horizontal="center" vertical="center"/>
      <protection hidden="1"/>
    </xf>
    <xf numFmtId="164" fontId="0" fillId="9" borderId="0" xfId="0" applyNumberForma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right" vertical="center" indent="1"/>
      <protection hidden="1"/>
    </xf>
    <xf numFmtId="0" fontId="9" fillId="2" borderId="0" xfId="0" applyFont="1" applyFill="1" applyBorder="1" applyAlignment="1" applyProtection="1">
      <alignment horizontal="left" vertical="center" indent="1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0" fillId="15" borderId="3" xfId="0" applyFill="1" applyBorder="1" applyAlignment="1" applyProtection="1">
      <alignment horizontal="left" vertical="center" indent="1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2" borderId="64" xfId="0" applyFont="1" applyFill="1" applyBorder="1" applyAlignment="1" applyProtection="1">
      <alignment vertical="center"/>
      <protection hidden="1"/>
    </xf>
    <xf numFmtId="0" fontId="9" fillId="2" borderId="65" xfId="0" applyFont="1" applyFill="1" applyBorder="1" applyAlignment="1" applyProtection="1">
      <alignment vertical="center"/>
      <protection hidden="1"/>
    </xf>
    <xf numFmtId="0" fontId="9" fillId="2" borderId="51" xfId="0" applyFont="1" applyFill="1" applyBorder="1" applyAlignment="1" applyProtection="1">
      <alignment vertical="center"/>
      <protection hidden="1"/>
    </xf>
    <xf numFmtId="0" fontId="10" fillId="2" borderId="36" xfId="0" applyFont="1" applyFill="1" applyBorder="1" applyAlignment="1" applyProtection="1">
      <alignment vertical="center"/>
      <protection hidden="1"/>
    </xf>
    <xf numFmtId="0" fontId="12" fillId="6" borderId="33" xfId="0" applyFont="1" applyFill="1" applyBorder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9" fillId="7" borderId="64" xfId="0" applyFont="1" applyFill="1" applyBorder="1" applyAlignment="1" applyProtection="1">
      <alignment horizontal="right" vertical="center" indent="1"/>
      <protection hidden="1"/>
    </xf>
    <xf numFmtId="0" fontId="9" fillId="7" borderId="65" xfId="0" applyFont="1" applyFill="1" applyBorder="1" applyAlignment="1" applyProtection="1">
      <alignment horizontal="left" vertical="center" indent="1"/>
      <protection hidden="1"/>
    </xf>
    <xf numFmtId="0" fontId="9" fillId="7" borderId="65" xfId="0" applyFont="1" applyFill="1" applyBorder="1" applyAlignment="1" applyProtection="1">
      <alignment vertical="center"/>
      <protection hidden="1"/>
    </xf>
    <xf numFmtId="0" fontId="9" fillId="7" borderId="51" xfId="0" applyFont="1" applyFill="1" applyBorder="1" applyAlignment="1" applyProtection="1">
      <alignment vertical="center"/>
      <protection hidden="1"/>
    </xf>
    <xf numFmtId="0" fontId="19" fillId="0" borderId="4" xfId="0" applyFont="1" applyFill="1" applyBorder="1" applyAlignment="1" applyProtection="1">
      <alignment vertical="center"/>
      <protection hidden="1"/>
    </xf>
    <xf numFmtId="0" fontId="0" fillId="15" borderId="3" xfId="0" applyFill="1" applyBorder="1" applyAlignment="1" applyProtection="1">
      <alignment horizontal="right" vertical="center" indent="1"/>
      <protection locked="0"/>
    </xf>
    <xf numFmtId="0" fontId="0" fillId="15" borderId="3" xfId="0" applyFill="1" applyBorder="1" applyAlignment="1" applyProtection="1">
      <alignment horizontal="left" vertical="center" indent="1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22" fillId="10" borderId="0" xfId="0" applyFont="1" applyFill="1" applyAlignment="1" applyProtection="1">
      <alignment vertical="center"/>
      <protection hidden="1"/>
    </xf>
    <xf numFmtId="0" fontId="1" fillId="20" borderId="0" xfId="0" applyFont="1" applyFill="1" applyAlignment="1" applyProtection="1">
      <alignment vertical="center"/>
      <protection hidden="1"/>
    </xf>
    <xf numFmtId="0" fontId="1" fillId="20" borderId="66" xfId="0" applyFont="1" applyFill="1" applyBorder="1" applyAlignment="1" applyProtection="1">
      <alignment horizontal="center" vertical="center"/>
      <protection hidden="1"/>
    </xf>
    <xf numFmtId="0" fontId="22" fillId="10" borderId="66" xfId="0" applyFont="1" applyFill="1" applyBorder="1" applyAlignment="1" applyProtection="1">
      <alignment horizontal="center" vertical="center"/>
      <protection hidden="1"/>
    </xf>
    <xf numFmtId="0" fontId="0" fillId="10" borderId="23" xfId="0" applyFill="1" applyBorder="1" applyAlignment="1" applyProtection="1">
      <alignment horizontal="center" vertical="center"/>
      <protection hidden="1"/>
    </xf>
    <xf numFmtId="0" fontId="1" fillId="20" borderId="18" xfId="0" applyFont="1" applyFill="1" applyBorder="1" applyAlignment="1" applyProtection="1">
      <alignment horizontal="center" vertical="center"/>
      <protection hidden="1"/>
    </xf>
    <xf numFmtId="0" fontId="1" fillId="20" borderId="7" xfId="0" applyFont="1" applyFill="1" applyBorder="1" applyAlignment="1" applyProtection="1">
      <alignment horizontal="center" vertical="center"/>
      <protection hidden="1"/>
    </xf>
    <xf numFmtId="0" fontId="0" fillId="10" borderId="4" xfId="0" applyFill="1" applyBorder="1" applyAlignment="1" applyProtection="1">
      <alignment horizontal="center" vertical="center"/>
      <protection hidden="1"/>
    </xf>
    <xf numFmtId="0" fontId="0" fillId="10" borderId="7" xfId="0" applyFill="1" applyBorder="1" applyAlignment="1" applyProtection="1">
      <alignment horizontal="center" vertical="center"/>
      <protection hidden="1"/>
    </xf>
    <xf numFmtId="0" fontId="0" fillId="7" borderId="24" xfId="0" applyFill="1" applyBorder="1" applyAlignment="1" applyProtection="1">
      <alignment horizontal="center" vertical="center"/>
      <protection hidden="1"/>
    </xf>
    <xf numFmtId="0" fontId="9" fillId="10" borderId="19" xfId="0" applyFont="1" applyFill="1" applyBorder="1" applyAlignment="1" applyProtection="1">
      <alignment horizontal="left" vertical="center"/>
      <protection locked="0"/>
    </xf>
    <xf numFmtId="0" fontId="9" fillId="10" borderId="21" xfId="0" applyFont="1" applyFill="1" applyBorder="1" applyAlignment="1" applyProtection="1">
      <alignment horizontal="left" vertical="center"/>
      <protection locked="0"/>
    </xf>
    <xf numFmtId="0" fontId="23" fillId="10" borderId="0" xfId="0" applyFont="1" applyFill="1" applyBorder="1" applyAlignment="1" applyProtection="1">
      <alignment horizontal="center" vertical="center" wrapText="1"/>
      <protection hidden="1"/>
    </xf>
    <xf numFmtId="0" fontId="23" fillId="10" borderId="0" xfId="0" applyFont="1" applyFill="1" applyAlignment="1" applyProtection="1">
      <alignment horizontal="center" vertical="center" wrapText="1"/>
      <protection hidden="1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hidden="1"/>
    </xf>
    <xf numFmtId="0" fontId="11" fillId="7" borderId="10" xfId="0" applyFont="1" applyFill="1" applyBorder="1" applyAlignment="1" applyProtection="1">
      <alignment horizontal="center" vertical="center"/>
      <protection hidden="1"/>
    </xf>
    <xf numFmtId="0" fontId="11" fillId="7" borderId="6" xfId="0" applyFont="1" applyFill="1" applyBorder="1" applyAlignment="1" applyProtection="1">
      <alignment horizontal="center" vertical="center"/>
      <protection hidden="1"/>
    </xf>
    <xf numFmtId="0" fontId="11" fillId="7" borderId="11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3" fillId="7" borderId="60" xfId="0" applyFont="1" applyFill="1" applyBorder="1" applyAlignment="1" applyProtection="1">
      <alignment horizontal="center" vertical="center" wrapText="1"/>
      <protection hidden="1"/>
    </xf>
    <xf numFmtId="0" fontId="3" fillId="7" borderId="61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left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hidden="1"/>
    </xf>
    <xf numFmtId="0" fontId="16" fillId="7" borderId="15" xfId="0" applyFont="1" applyFill="1" applyBorder="1" applyAlignment="1" applyProtection="1">
      <alignment horizontal="center" vertical="center"/>
      <protection hidden="1"/>
    </xf>
    <xf numFmtId="0" fontId="16" fillId="7" borderId="36" xfId="0" applyFont="1" applyFill="1" applyBorder="1" applyAlignment="1" applyProtection="1">
      <alignment horizontal="center" vertical="center"/>
      <protection hidden="1"/>
    </xf>
    <xf numFmtId="0" fontId="1" fillId="7" borderId="35" xfId="0" applyFont="1" applyFill="1" applyBorder="1" applyAlignment="1" applyProtection="1">
      <alignment horizontal="center" vertical="center"/>
      <protection hidden="1"/>
    </xf>
    <xf numFmtId="0" fontId="1" fillId="7" borderId="0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0" fillId="16" borderId="3" xfId="0" applyFill="1" applyBorder="1" applyAlignment="1" applyProtection="1">
      <alignment horizontal="center" vertical="center"/>
      <protection hidden="1"/>
    </xf>
    <xf numFmtId="0" fontId="0" fillId="12" borderId="51" xfId="0" applyFill="1" applyBorder="1" applyAlignment="1" applyProtection="1">
      <alignment horizontal="center" vertical="center"/>
      <protection hidden="1"/>
    </xf>
    <xf numFmtId="0" fontId="0" fillId="12" borderId="4" xfId="0" applyFill="1" applyBorder="1" applyAlignment="1" applyProtection="1">
      <alignment horizontal="center" vertical="center"/>
      <protection hidden="1"/>
    </xf>
    <xf numFmtId="0" fontId="3" fillId="9" borderId="16" xfId="0" applyFont="1" applyFill="1" applyBorder="1" applyAlignment="1" applyProtection="1">
      <alignment horizontal="center" vertical="center" wrapText="1"/>
      <protection hidden="1"/>
    </xf>
    <xf numFmtId="0" fontId="3" fillId="9" borderId="17" xfId="0" applyFont="1" applyFill="1" applyBorder="1" applyAlignment="1" applyProtection="1">
      <alignment horizontal="center" vertical="center" wrapText="1"/>
      <protection hidden="1"/>
    </xf>
    <xf numFmtId="0" fontId="3" fillId="9" borderId="37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1" fillId="7" borderId="13" xfId="0" applyFont="1" applyFill="1" applyBorder="1" applyAlignment="1" applyProtection="1">
      <alignment horizontal="center" vertical="center"/>
      <protection hidden="1"/>
    </xf>
    <xf numFmtId="0" fontId="1" fillId="7" borderId="14" xfId="0" applyFont="1" applyFill="1" applyBorder="1" applyAlignment="1" applyProtection="1">
      <alignment horizontal="center" vertical="center"/>
      <protection hidden="1"/>
    </xf>
    <xf numFmtId="0" fontId="1" fillId="7" borderId="15" xfId="0" applyFont="1" applyFill="1" applyBorder="1" applyAlignment="1" applyProtection="1">
      <alignment horizontal="center" vertical="center"/>
      <protection hidden="1"/>
    </xf>
    <xf numFmtId="0" fontId="3" fillId="9" borderId="3" xfId="0" applyFont="1" applyFill="1" applyBorder="1" applyAlignment="1" applyProtection="1">
      <alignment horizontal="center" vertical="center"/>
      <protection hidden="1"/>
    </xf>
    <xf numFmtId="0" fontId="9" fillId="7" borderId="65" xfId="0" applyFont="1" applyFill="1" applyBorder="1" applyAlignment="1" applyProtection="1">
      <alignment horizontal="center" vertical="center"/>
      <protection hidden="1"/>
    </xf>
    <xf numFmtId="0" fontId="1" fillId="9" borderId="33" xfId="0" applyFont="1" applyFill="1" applyBorder="1" applyAlignment="1" applyProtection="1">
      <alignment horizontal="center" vertical="center"/>
      <protection hidden="1"/>
    </xf>
    <xf numFmtId="0" fontId="1" fillId="9" borderId="0" xfId="0" applyFont="1" applyFill="1" applyBorder="1" applyAlignment="1" applyProtection="1">
      <alignment horizontal="center" vertical="center"/>
      <protection hidden="1"/>
    </xf>
    <xf numFmtId="0" fontId="17" fillId="4" borderId="31" xfId="0" applyFont="1" applyFill="1" applyBorder="1" applyAlignment="1" applyProtection="1">
      <alignment horizontal="center" vertical="center"/>
      <protection hidden="1"/>
    </xf>
    <xf numFmtId="0" fontId="17" fillId="4" borderId="32" xfId="0" applyFont="1" applyFill="1" applyBorder="1" applyAlignment="1" applyProtection="1">
      <alignment horizontal="center" vertical="center"/>
      <protection hidden="1"/>
    </xf>
    <xf numFmtId="0" fontId="17" fillId="4" borderId="33" xfId="0" applyFont="1" applyFill="1" applyBorder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horizontal="center" vertical="center"/>
      <protection hidden="1"/>
    </xf>
    <xf numFmtId="0" fontId="16" fillId="7" borderId="12" xfId="0" applyFont="1" applyFill="1" applyBorder="1" applyAlignment="1" applyProtection="1">
      <alignment horizontal="center" vertical="center"/>
      <protection hidden="1"/>
    </xf>
    <xf numFmtId="0" fontId="16" fillId="7" borderId="49" xfId="0" applyFont="1" applyFill="1" applyBorder="1" applyAlignment="1" applyProtection="1">
      <alignment horizontal="center" vertical="center"/>
      <protection hidden="1"/>
    </xf>
    <xf numFmtId="0" fontId="16" fillId="7" borderId="18" xfId="0" applyFont="1" applyFill="1" applyBorder="1" applyAlignment="1" applyProtection="1">
      <alignment horizontal="center" vertical="center"/>
      <protection hidden="1"/>
    </xf>
    <xf numFmtId="0" fontId="17" fillId="7" borderId="28" xfId="0" applyFont="1" applyFill="1" applyBorder="1" applyAlignment="1" applyProtection="1">
      <alignment horizontal="left" vertical="center"/>
      <protection hidden="1"/>
    </xf>
    <xf numFmtId="0" fontId="17" fillId="7" borderId="29" xfId="0" applyFont="1" applyFill="1" applyBorder="1" applyAlignment="1" applyProtection="1">
      <alignment horizontal="left" vertical="center"/>
      <protection hidden="1"/>
    </xf>
    <xf numFmtId="0" fontId="17" fillId="7" borderId="62" xfId="0" applyFont="1" applyFill="1" applyBorder="1" applyAlignment="1" applyProtection="1">
      <alignment horizontal="left" vertical="center"/>
      <protection hidden="1"/>
    </xf>
    <xf numFmtId="0" fontId="17" fillId="7" borderId="63" xfId="0" applyFont="1" applyFill="1" applyBorder="1" applyAlignment="1" applyProtection="1">
      <alignment horizontal="left" vertical="center"/>
      <protection hidden="1"/>
    </xf>
    <xf numFmtId="3" fontId="3" fillId="7" borderId="24" xfId="0" applyNumberFormat="1" applyFont="1" applyFill="1" applyBorder="1" applyAlignment="1" applyProtection="1">
      <alignment horizontal="center" vertical="center" wrapText="1"/>
      <protection hidden="1"/>
    </xf>
    <xf numFmtId="0" fontId="3" fillId="7" borderId="24" xfId="0" applyFont="1" applyFill="1" applyBorder="1" applyAlignment="1" applyProtection="1">
      <alignment horizontal="center" vertical="center" wrapText="1"/>
      <protection hidden="1"/>
    </xf>
    <xf numFmtId="0" fontId="3" fillId="7" borderId="25" xfId="0" applyFont="1" applyFill="1" applyBorder="1" applyAlignment="1" applyProtection="1">
      <alignment horizontal="center" vertical="center" wrapText="1"/>
      <protection hidden="1"/>
    </xf>
    <xf numFmtId="0" fontId="3" fillId="7" borderId="26" xfId="0" applyFont="1" applyFill="1" applyBorder="1" applyAlignment="1" applyProtection="1">
      <alignment horizontal="center" vertical="center" wrapText="1"/>
      <protection hidden="1"/>
    </xf>
    <xf numFmtId="0" fontId="3" fillId="7" borderId="27" xfId="0" applyFont="1" applyFill="1" applyBorder="1" applyAlignment="1" applyProtection="1">
      <alignment horizontal="center" vertical="center" wrapText="1"/>
      <protection hidden="1"/>
    </xf>
    <xf numFmtId="0" fontId="3" fillId="7" borderId="47" xfId="0" applyFont="1" applyFill="1" applyBorder="1" applyAlignment="1" applyProtection="1">
      <alignment horizontal="center" vertical="center" wrapText="1"/>
      <protection hidden="1"/>
    </xf>
    <xf numFmtId="0" fontId="3" fillId="7" borderId="48" xfId="0" applyFont="1" applyFill="1" applyBorder="1" applyAlignment="1" applyProtection="1">
      <alignment horizontal="center" vertical="center" wrapText="1"/>
      <protection hidden="1"/>
    </xf>
    <xf numFmtId="0" fontId="8" fillId="7" borderId="0" xfId="0" applyFont="1" applyFill="1" applyAlignment="1" applyProtection="1">
      <alignment horizontal="center" vertical="center"/>
      <protection hidden="1"/>
    </xf>
    <xf numFmtId="0" fontId="1" fillId="17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24" fillId="0" borderId="0" xfId="1" applyFont="1"/>
    <xf numFmtId="0" fontId="25" fillId="0" borderId="0" xfId="1" applyFont="1"/>
    <xf numFmtId="0" fontId="27" fillId="0" borderId="0" xfId="2" applyFont="1"/>
    <xf numFmtId="0" fontId="24" fillId="0" borderId="0" xfId="1" applyFont="1" applyAlignment="1">
      <alignment horizontal="left"/>
    </xf>
    <xf numFmtId="0" fontId="24" fillId="0" borderId="0" xfId="1" applyFont="1" applyAlignment="1"/>
    <xf numFmtId="0" fontId="28" fillId="0" borderId="0" xfId="2" applyFont="1" applyAlignment="1">
      <alignment horizontal="left"/>
    </xf>
    <xf numFmtId="0" fontId="28" fillId="0" borderId="0" xfId="2" applyFont="1" applyAlignment="1"/>
    <xf numFmtId="0" fontId="6" fillId="0" borderId="0" xfId="1"/>
  </cellXfs>
  <cellStyles count="3">
    <cellStyle name="Hyperlink" xfId="2" builtinId="8"/>
    <cellStyle name="Normal" xfId="0" builtinId="0"/>
    <cellStyle name="Normal 2" xfId="1"/>
  </cellStyles>
  <dxfs count="63">
    <dxf>
      <fill>
        <patternFill>
          <bgColor theme="6" tint="0.79998168889431442"/>
        </patternFill>
      </fill>
    </dxf>
    <dxf>
      <font>
        <color theme="6" tint="0.79998168889431442"/>
      </font>
    </dxf>
    <dxf>
      <font>
        <color theme="6" tint="0.59996337778862885"/>
      </font>
    </dxf>
    <dxf>
      <font>
        <b/>
        <i val="0"/>
        <color rgb="FF0000FF"/>
      </font>
      <fill>
        <patternFill>
          <bgColor theme="6" tint="0.39994506668294322"/>
        </patternFill>
      </fill>
    </dxf>
    <dxf>
      <font>
        <b/>
        <i val="0"/>
        <color rgb="FF0000FF"/>
      </font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  <color rgb="FF0000FF"/>
      </font>
    </dxf>
    <dxf>
      <font>
        <b/>
        <i val="0"/>
        <color rgb="FF0000FF"/>
      </font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6" tint="0.79998168889431442"/>
      </font>
      <fill>
        <patternFill>
          <bgColor theme="6" tint="0.79998168889431442"/>
        </patternFill>
      </fill>
      <border>
        <left/>
        <right/>
        <bottom/>
        <vertical/>
        <horizontal/>
      </border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  <color rgb="FF0000FF"/>
      </font>
    </dxf>
    <dxf>
      <font>
        <b/>
        <i val="0"/>
        <color rgb="FF0000FF"/>
      </font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6" tint="0.79998168889431442"/>
      </font>
      <fill>
        <patternFill>
          <bgColor theme="6" tint="0.79998168889431442"/>
        </patternFill>
      </fill>
      <border>
        <left/>
        <right/>
        <bottom/>
        <vertical/>
        <horizontal/>
      </border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ill>
        <patternFill>
          <bgColor theme="0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exceltemplate.net/sports/world-cup-2018-team-stats-and-head-to-head-records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101599</xdr:colOff>
      <xdr:row>41</xdr:row>
      <xdr:rowOff>50800</xdr:rowOff>
    </xdr:from>
    <xdr:to>
      <xdr:col>8</xdr:col>
      <xdr:colOff>233535</xdr:colOff>
      <xdr:row>46</xdr:row>
      <xdr:rowOff>101600</xdr:rowOff>
    </xdr:to>
    <xdr:grpSp>
      <xdr:nvGrpSpPr>
        <xdr:cNvPr id="15" name="Group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pSpPr/>
      </xdr:nvGrpSpPr>
      <xdr:grpSpPr>
        <a:xfrm>
          <a:off x="5016499" y="7792720"/>
          <a:ext cx="2753216" cy="965200"/>
          <a:chOff x="8318500" y="996950"/>
          <a:chExt cx="2786239" cy="971550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/>
        </xdr:nvSpPr>
        <xdr:spPr>
          <a:xfrm>
            <a:off x="8985249" y="1644650"/>
            <a:ext cx="2119490" cy="165100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en-US" sz="1100" b="1" i="1">
                <a:solidFill>
                  <a:srgbClr val="FFFF00"/>
                </a:solidFill>
              </a:rPr>
              <a:t>GET</a:t>
            </a:r>
            <a:r>
              <a:rPr lang="en-US" sz="1100" b="1" i="1" baseline="0">
                <a:solidFill>
                  <a:srgbClr val="FFFF00"/>
                </a:solidFill>
              </a:rPr>
              <a:t> IT HERE</a:t>
            </a:r>
            <a:endParaRPr lang="en-US" sz="1100" b="1" i="1">
              <a:solidFill>
                <a:srgbClr val="FFFF00"/>
              </a:solidFill>
            </a:endParaRPr>
          </a:p>
        </xdr:txBody>
      </xdr:sp>
      <xdr:grpSp>
        <xdr:nvGrpSpPr>
          <xdr:cNvPr id="12" name="Group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GrpSpPr/>
        </xdr:nvGrpSpPr>
        <xdr:grpSpPr>
          <a:xfrm>
            <a:off x="8318500" y="996950"/>
            <a:ext cx="2786238" cy="971550"/>
            <a:chOff x="8439150" y="933450"/>
            <a:chExt cx="2786238" cy="971550"/>
          </a:xfrm>
        </xdr:grpSpPr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152238" y="1016000"/>
              <a:ext cx="1073150" cy="57424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077680" y="1016000"/>
              <a:ext cx="1073150" cy="57424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10" name="Picture 9" descr="C:\Users\Admin\AppData\Local\Microsoft\Windows\INetCache\IE\NETFWUDB\worldcup-icon[1].png">
              <a:extLst>
                <a:ext uri="{FF2B5EF4-FFF2-40B4-BE49-F238E27FC236}">
                  <a16:creationId xmlns:a16="http://schemas.microsoft.com/office/drawing/2014/main" xmlns="" id="{00000000-0008-0000-0000-00000A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439150" y="933450"/>
              <a:ext cx="971550" cy="9715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 txBox="1"/>
        </xdr:nvSpPr>
        <xdr:spPr>
          <a:xfrm>
            <a:off x="9048750" y="1162050"/>
            <a:ext cx="2006600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rgbClr val="C00000"/>
                </a:solidFill>
              </a:rPr>
              <a:t>WORLD</a:t>
            </a:r>
            <a:r>
              <a:rPr lang="en-US" sz="1100" b="1" baseline="0">
                <a:solidFill>
                  <a:srgbClr val="C00000"/>
                </a:solidFill>
              </a:rPr>
              <a:t> CUP 2018 TEAM STATS &amp; HEAD-TO-HEAD RECORDS</a:t>
            </a:r>
            <a:endParaRPr lang="en-US" sz="1100" b="1">
              <a:solidFill>
                <a:srgbClr val="C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9"/>
  <sheetViews>
    <sheetView showGridLines="0" tabSelected="1" zoomScaleNormal="100" workbookViewId="0">
      <selection activeCell="E30" sqref="E30"/>
    </sheetView>
  </sheetViews>
  <sheetFormatPr defaultColWidth="0" defaultRowHeight="14.4" zeroHeight="1" x14ac:dyDescent="0.3"/>
  <cols>
    <col min="1" max="1" width="2.77734375" style="8" customWidth="1"/>
    <col min="2" max="2" width="1.77734375" style="8" customWidth="1"/>
    <col min="3" max="3" width="67.109375" style="8" customWidth="1"/>
    <col min="4" max="4" width="3.109375" style="8" customWidth="1"/>
    <col min="5" max="9" width="8.77734375" style="8" customWidth="1"/>
    <col min="10" max="10" width="4.33203125" style="8" customWidth="1"/>
    <col min="11" max="11" width="2.77734375" style="8" customWidth="1"/>
    <col min="12" max="16384" width="8.77734375" style="8" hidden="1"/>
  </cols>
  <sheetData>
    <row r="1" spans="1:10" x14ac:dyDescent="0.3"/>
    <row r="2" spans="1:10" ht="21" x14ac:dyDescent="0.3">
      <c r="B2" s="86" t="s">
        <v>0</v>
      </c>
      <c r="C2" s="87"/>
      <c r="D2" s="88"/>
      <c r="E2" s="88"/>
      <c r="F2" s="88"/>
      <c r="G2" s="88"/>
      <c r="H2" s="88"/>
      <c r="I2" s="88"/>
      <c r="J2" s="88"/>
    </row>
    <row r="3" spans="1:10" x14ac:dyDescent="0.3">
      <c r="B3" s="89"/>
      <c r="C3" s="89"/>
      <c r="D3" s="89"/>
      <c r="E3" s="89"/>
      <c r="F3" s="89"/>
      <c r="G3" s="89"/>
      <c r="H3" s="89"/>
      <c r="I3" s="89"/>
      <c r="J3" s="89"/>
    </row>
    <row r="4" spans="1:10" s="20" customFormat="1" ht="15.6" x14ac:dyDescent="0.3">
      <c r="B4" s="90"/>
      <c r="C4" s="91" t="s">
        <v>1</v>
      </c>
      <c r="D4" s="91"/>
      <c r="E4" s="91"/>
      <c r="F4" s="91"/>
      <c r="G4" s="91"/>
      <c r="H4" s="91"/>
      <c r="I4" s="91"/>
      <c r="J4" s="90"/>
    </row>
    <row r="5" spans="1:10" x14ac:dyDescent="0.3">
      <c r="B5" s="89"/>
      <c r="C5" s="89"/>
      <c r="D5" s="89"/>
      <c r="E5" s="89"/>
      <c r="F5" s="89"/>
      <c r="G5" s="89"/>
      <c r="H5" s="89"/>
      <c r="I5" s="89"/>
      <c r="J5" s="89"/>
    </row>
    <row r="6" spans="1:10" x14ac:dyDescent="0.3">
      <c r="A6" s="156"/>
      <c r="B6" s="92">
        <f>IF(H6="Actual Results",1,0)</f>
        <v>0</v>
      </c>
      <c r="C6" s="93" t="s">
        <v>124</v>
      </c>
      <c r="D6" s="93"/>
      <c r="E6" s="93"/>
      <c r="F6" s="93"/>
      <c r="G6" s="93"/>
      <c r="H6" s="190" t="s">
        <v>126</v>
      </c>
      <c r="I6" s="191"/>
      <c r="J6" s="105"/>
    </row>
    <row r="7" spans="1:10" x14ac:dyDescent="0.3">
      <c r="A7" s="156"/>
      <c r="B7" s="92">
        <f>IF(H7="Yes",1,0)</f>
        <v>1</v>
      </c>
      <c r="C7" s="93" t="s">
        <v>125</v>
      </c>
      <c r="D7" s="93"/>
      <c r="E7" s="93"/>
      <c r="F7" s="93"/>
      <c r="G7" s="93"/>
      <c r="H7" s="104" t="s">
        <v>109</v>
      </c>
      <c r="I7" s="105"/>
      <c r="J7" s="105"/>
    </row>
    <row r="8" spans="1:10" x14ac:dyDescent="0.3">
      <c r="A8" s="156"/>
      <c r="B8" s="92">
        <f>IF(H8="Yes",1,0)</f>
        <v>0</v>
      </c>
      <c r="C8" s="93" t="s">
        <v>127</v>
      </c>
      <c r="D8" s="93"/>
      <c r="E8" s="93"/>
      <c r="F8" s="93"/>
      <c r="G8" s="93"/>
      <c r="H8" s="104" t="s">
        <v>45</v>
      </c>
      <c r="I8" s="105"/>
      <c r="J8" s="105"/>
    </row>
    <row r="9" spans="1:10" ht="15" thickBot="1" x14ac:dyDescent="0.35">
      <c r="B9" s="89"/>
      <c r="C9" s="89"/>
      <c r="D9" s="89"/>
      <c r="E9" s="89"/>
      <c r="F9" s="89"/>
      <c r="G9" s="89"/>
      <c r="H9" s="89"/>
      <c r="I9" s="89"/>
      <c r="J9" s="89"/>
    </row>
    <row r="10" spans="1:10" x14ac:dyDescent="0.3">
      <c r="B10" s="94"/>
      <c r="C10" s="94"/>
      <c r="D10" s="94"/>
      <c r="E10" s="94"/>
      <c r="F10" s="94"/>
      <c r="G10" s="94"/>
      <c r="H10" s="94"/>
      <c r="I10" s="94"/>
      <c r="J10" s="94"/>
    </row>
    <row r="11" spans="1:10" ht="28.8" x14ac:dyDescent="0.3">
      <c r="B11" s="95"/>
      <c r="C11" s="96" t="s">
        <v>2</v>
      </c>
      <c r="D11" s="96"/>
      <c r="E11" s="97" t="s">
        <v>3</v>
      </c>
      <c r="F11" s="97" t="s">
        <v>4</v>
      </c>
      <c r="G11" s="97" t="s">
        <v>5</v>
      </c>
      <c r="H11" s="97" t="s">
        <v>6</v>
      </c>
      <c r="I11" s="97" t="s">
        <v>7</v>
      </c>
      <c r="J11" s="95"/>
    </row>
    <row r="12" spans="1:10" ht="14.55" customHeight="1" x14ac:dyDescent="0.3">
      <c r="B12" s="95"/>
      <c r="C12" s="95" t="s">
        <v>154</v>
      </c>
      <c r="D12" s="95"/>
      <c r="E12" s="103">
        <v>200</v>
      </c>
      <c r="F12" s="106">
        <v>400</v>
      </c>
      <c r="G12" s="103">
        <v>800</v>
      </c>
      <c r="H12" s="106">
        <v>800</v>
      </c>
      <c r="I12" s="103">
        <v>1600</v>
      </c>
      <c r="J12" s="95"/>
    </row>
    <row r="13" spans="1:10" x14ac:dyDescent="0.3">
      <c r="B13" s="95"/>
      <c r="C13" s="95" t="s">
        <v>155</v>
      </c>
      <c r="D13" s="95"/>
      <c r="E13" s="103">
        <v>150</v>
      </c>
      <c r="F13" s="106">
        <v>300</v>
      </c>
      <c r="G13" s="103">
        <v>600</v>
      </c>
      <c r="H13" s="106">
        <v>600</v>
      </c>
      <c r="I13" s="103">
        <v>1200</v>
      </c>
      <c r="J13" s="95"/>
    </row>
    <row r="14" spans="1:10" x14ac:dyDescent="0.3">
      <c r="B14" s="95"/>
      <c r="C14" s="95" t="s">
        <v>156</v>
      </c>
      <c r="D14" s="95"/>
      <c r="E14" s="103">
        <v>100</v>
      </c>
      <c r="F14" s="106">
        <v>200</v>
      </c>
      <c r="G14" s="103">
        <v>400</v>
      </c>
      <c r="H14" s="106">
        <v>400</v>
      </c>
      <c r="I14" s="103">
        <v>800</v>
      </c>
      <c r="J14" s="95"/>
    </row>
    <row r="15" spans="1:10" x14ac:dyDescent="0.3">
      <c r="B15" s="95"/>
      <c r="C15" s="95"/>
      <c r="D15" s="95"/>
      <c r="E15" s="95"/>
      <c r="F15" s="95"/>
      <c r="G15" s="95"/>
      <c r="H15" s="95"/>
      <c r="I15" s="95"/>
      <c r="J15" s="95"/>
    </row>
    <row r="16" spans="1:10" x14ac:dyDescent="0.3">
      <c r="B16" s="95"/>
      <c r="C16" s="96" t="s">
        <v>8</v>
      </c>
      <c r="D16" s="96"/>
      <c r="E16" s="98" t="s">
        <v>13</v>
      </c>
      <c r="F16" s="95"/>
      <c r="G16" s="95"/>
      <c r="H16" s="95"/>
      <c r="I16" s="95"/>
      <c r="J16" s="95"/>
    </row>
    <row r="17" spans="2:10" x14ac:dyDescent="0.3">
      <c r="B17" s="95"/>
      <c r="C17" s="95" t="s">
        <v>154</v>
      </c>
      <c r="D17" s="95"/>
      <c r="E17" s="103">
        <v>100</v>
      </c>
      <c r="F17" s="95"/>
      <c r="G17" s="95"/>
      <c r="H17" s="95"/>
      <c r="I17" s="95"/>
      <c r="J17" s="95"/>
    </row>
    <row r="18" spans="2:10" x14ac:dyDescent="0.3">
      <c r="B18" s="95"/>
      <c r="C18" s="95" t="s">
        <v>155</v>
      </c>
      <c r="D18" s="95"/>
      <c r="E18" s="103">
        <v>75</v>
      </c>
      <c r="F18" s="95"/>
      <c r="G18" s="95"/>
      <c r="H18" s="95"/>
      <c r="I18" s="95"/>
      <c r="J18" s="95"/>
    </row>
    <row r="19" spans="2:10" x14ac:dyDescent="0.3">
      <c r="B19" s="95"/>
      <c r="C19" s="95" t="s">
        <v>156</v>
      </c>
      <c r="D19" s="95"/>
      <c r="E19" s="103">
        <v>50</v>
      </c>
      <c r="F19" s="95"/>
      <c r="G19" s="95"/>
      <c r="H19" s="95"/>
      <c r="I19" s="95"/>
      <c r="J19" s="95"/>
    </row>
    <row r="20" spans="2:10" ht="15" thickBot="1" x14ac:dyDescent="0.35">
      <c r="B20" s="95"/>
      <c r="C20" s="95"/>
      <c r="D20" s="95"/>
      <c r="E20" s="95"/>
      <c r="F20" s="95"/>
      <c r="G20" s="95"/>
      <c r="H20" s="95"/>
      <c r="I20" s="95"/>
      <c r="J20" s="95"/>
    </row>
    <row r="21" spans="2:10" x14ac:dyDescent="0.3">
      <c r="B21" s="99"/>
      <c r="C21" s="99"/>
      <c r="D21" s="99"/>
      <c r="E21" s="99"/>
      <c r="F21" s="99"/>
      <c r="G21" s="99"/>
      <c r="H21" s="99"/>
      <c r="I21" s="99"/>
      <c r="J21" s="99"/>
    </row>
    <row r="22" spans="2:10" x14ac:dyDescent="0.3">
      <c r="B22" s="73"/>
      <c r="C22" s="181" t="s">
        <v>9</v>
      </c>
      <c r="D22" s="181"/>
      <c r="E22" s="182" t="s">
        <v>12</v>
      </c>
      <c r="F22" s="192" t="s">
        <v>160</v>
      </c>
      <c r="G22" s="193"/>
      <c r="H22" s="193"/>
      <c r="I22" s="193"/>
      <c r="J22" s="73"/>
    </row>
    <row r="23" spans="2:10" x14ac:dyDescent="0.3">
      <c r="B23" s="73"/>
      <c r="C23" s="180" t="s">
        <v>128</v>
      </c>
      <c r="D23" s="180"/>
      <c r="E23" s="183">
        <v>200</v>
      </c>
      <c r="F23" s="192"/>
      <c r="G23" s="193"/>
      <c r="H23" s="193"/>
      <c r="I23" s="193"/>
      <c r="J23" s="73"/>
    </row>
    <row r="24" spans="2:10" x14ac:dyDescent="0.3">
      <c r="B24" s="73"/>
      <c r="C24" s="180" t="s">
        <v>129</v>
      </c>
      <c r="D24" s="180"/>
      <c r="E24" s="183">
        <v>100</v>
      </c>
      <c r="F24" s="192"/>
      <c r="G24" s="193"/>
      <c r="H24" s="193"/>
      <c r="I24" s="193"/>
      <c r="J24" s="73"/>
    </row>
    <row r="25" spans="2:10" x14ac:dyDescent="0.3">
      <c r="B25" s="73"/>
      <c r="C25" s="180" t="s">
        <v>130</v>
      </c>
      <c r="D25" s="180"/>
      <c r="E25" s="183">
        <v>50</v>
      </c>
      <c r="F25" s="192"/>
      <c r="G25" s="193"/>
      <c r="H25" s="193"/>
      <c r="I25" s="193"/>
      <c r="J25" s="73"/>
    </row>
    <row r="26" spans="2:10" x14ac:dyDescent="0.3">
      <c r="B26" s="73"/>
      <c r="C26" s="180" t="s">
        <v>131</v>
      </c>
      <c r="D26" s="180"/>
      <c r="E26" s="183">
        <v>300</v>
      </c>
      <c r="F26" s="192"/>
      <c r="G26" s="193"/>
      <c r="H26" s="193"/>
      <c r="I26" s="193"/>
      <c r="J26" s="73"/>
    </row>
    <row r="27" spans="2:10" x14ac:dyDescent="0.3">
      <c r="B27" s="73"/>
      <c r="C27" s="180" t="s">
        <v>132</v>
      </c>
      <c r="D27" s="180"/>
      <c r="E27" s="183">
        <v>150</v>
      </c>
      <c r="F27" s="192"/>
      <c r="G27" s="193"/>
      <c r="H27" s="193"/>
      <c r="I27" s="193"/>
      <c r="J27" s="73"/>
    </row>
    <row r="28" spans="2:10" x14ac:dyDescent="0.3">
      <c r="B28" s="73"/>
      <c r="C28" s="180" t="s">
        <v>133</v>
      </c>
      <c r="D28" s="180"/>
      <c r="E28" s="183">
        <v>600</v>
      </c>
      <c r="F28" s="192"/>
      <c r="G28" s="193"/>
      <c r="H28" s="193"/>
      <c r="I28" s="193"/>
      <c r="J28" s="73"/>
    </row>
    <row r="29" spans="2:10" x14ac:dyDescent="0.3">
      <c r="B29" s="73"/>
      <c r="C29" s="180" t="s">
        <v>137</v>
      </c>
      <c r="D29" s="180"/>
      <c r="E29" s="183">
        <v>600</v>
      </c>
      <c r="F29" s="192"/>
      <c r="G29" s="193"/>
      <c r="H29" s="193"/>
      <c r="I29" s="193"/>
      <c r="J29" s="73"/>
    </row>
    <row r="30" spans="2:10" x14ac:dyDescent="0.3">
      <c r="B30" s="73"/>
      <c r="C30" s="180" t="s">
        <v>136</v>
      </c>
      <c r="D30" s="180"/>
      <c r="E30" s="183">
        <v>300</v>
      </c>
      <c r="F30" s="192"/>
      <c r="G30" s="193"/>
      <c r="H30" s="193"/>
      <c r="I30" s="193"/>
      <c r="J30" s="73"/>
    </row>
    <row r="31" spans="2:10" x14ac:dyDescent="0.3">
      <c r="B31" s="73"/>
      <c r="C31" s="180" t="s">
        <v>135</v>
      </c>
      <c r="D31" s="180"/>
      <c r="E31" s="183">
        <v>200</v>
      </c>
      <c r="F31" s="192"/>
      <c r="G31" s="193"/>
      <c r="H31" s="193"/>
      <c r="I31" s="193"/>
      <c r="J31" s="73"/>
    </row>
    <row r="32" spans="2:10" x14ac:dyDescent="0.3">
      <c r="B32" s="73"/>
      <c r="C32" s="180" t="s">
        <v>138</v>
      </c>
      <c r="D32" s="180"/>
      <c r="E32" s="183">
        <v>50</v>
      </c>
      <c r="F32" s="192"/>
      <c r="G32" s="193"/>
      <c r="H32" s="193"/>
      <c r="I32" s="193"/>
      <c r="J32" s="73"/>
    </row>
    <row r="33" spans="2:10" x14ac:dyDescent="0.3">
      <c r="B33" s="73"/>
      <c r="C33" s="180" t="s">
        <v>139</v>
      </c>
      <c r="D33" s="180"/>
      <c r="E33" s="183">
        <v>50</v>
      </c>
      <c r="F33" s="192"/>
      <c r="G33" s="193"/>
      <c r="H33" s="193"/>
      <c r="I33" s="193"/>
      <c r="J33" s="73"/>
    </row>
    <row r="34" spans="2:10" x14ac:dyDescent="0.3">
      <c r="B34" s="73"/>
      <c r="C34" s="180" t="s">
        <v>140</v>
      </c>
      <c r="D34" s="180"/>
      <c r="E34" s="183">
        <v>1000</v>
      </c>
      <c r="F34" s="192"/>
      <c r="G34" s="193"/>
      <c r="H34" s="193"/>
      <c r="I34" s="193"/>
      <c r="J34" s="73"/>
    </row>
    <row r="35" spans="2:10" x14ac:dyDescent="0.3">
      <c r="B35" s="73"/>
      <c r="C35" s="180" t="s">
        <v>141</v>
      </c>
      <c r="D35" s="180"/>
      <c r="E35" s="183">
        <v>500</v>
      </c>
      <c r="F35" s="192"/>
      <c r="G35" s="193"/>
      <c r="H35" s="193"/>
      <c r="I35" s="193"/>
      <c r="J35" s="73"/>
    </row>
    <row r="36" spans="2:10" x14ac:dyDescent="0.3">
      <c r="B36" s="73"/>
      <c r="C36" s="180" t="s">
        <v>142</v>
      </c>
      <c r="D36" s="180"/>
      <c r="E36" s="183">
        <v>250</v>
      </c>
      <c r="F36" s="192"/>
      <c r="G36" s="193"/>
      <c r="H36" s="193"/>
      <c r="I36" s="193"/>
      <c r="J36" s="73"/>
    </row>
    <row r="37" spans="2:10" x14ac:dyDescent="0.3">
      <c r="B37" s="73"/>
      <c r="C37" s="180" t="s">
        <v>143</v>
      </c>
      <c r="D37" s="180"/>
      <c r="E37" s="183">
        <v>150</v>
      </c>
      <c r="F37" s="192"/>
      <c r="G37" s="193"/>
      <c r="H37" s="193"/>
      <c r="I37" s="193"/>
      <c r="J37" s="73"/>
    </row>
    <row r="38" spans="2:10" x14ac:dyDescent="0.3">
      <c r="B38" s="73"/>
      <c r="C38" s="180" t="s">
        <v>144</v>
      </c>
      <c r="D38" s="180"/>
      <c r="E38" s="183">
        <v>150</v>
      </c>
      <c r="F38" s="192"/>
      <c r="G38" s="193"/>
      <c r="H38" s="193"/>
      <c r="I38" s="193"/>
      <c r="J38" s="73"/>
    </row>
    <row r="39" spans="2:10" x14ac:dyDescent="0.3">
      <c r="B39" s="73"/>
      <c r="C39" s="73"/>
      <c r="D39" s="73"/>
      <c r="E39" s="73"/>
      <c r="F39" s="73"/>
      <c r="G39" s="73"/>
      <c r="H39" s="73"/>
      <c r="I39" s="73"/>
      <c r="J39" s="73"/>
    </row>
    <row r="40" spans="2:10" ht="15.6" x14ac:dyDescent="0.3">
      <c r="B40" s="100"/>
      <c r="C40" s="91" t="s">
        <v>11</v>
      </c>
      <c r="D40" s="96"/>
      <c r="E40" s="96"/>
      <c r="F40" s="96"/>
      <c r="G40" s="96"/>
      <c r="H40" s="96"/>
      <c r="I40" s="96"/>
      <c r="J40" s="100"/>
    </row>
    <row r="41" spans="2:10" ht="9" customHeight="1" x14ac:dyDescent="0.3">
      <c r="B41" s="89"/>
      <c r="C41" s="89"/>
      <c r="D41" s="89"/>
      <c r="E41" s="89"/>
      <c r="F41" s="89"/>
      <c r="G41" s="89"/>
      <c r="H41" s="89"/>
      <c r="I41" s="89"/>
      <c r="J41" s="89"/>
    </row>
    <row r="42" spans="2:10" x14ac:dyDescent="0.3">
      <c r="B42" s="89"/>
      <c r="C42" s="89" t="s">
        <v>113</v>
      </c>
      <c r="D42" s="89"/>
      <c r="E42" s="89"/>
      <c r="F42" s="89"/>
      <c r="G42" s="89"/>
      <c r="H42" s="89"/>
      <c r="I42" s="89"/>
      <c r="J42" s="89"/>
    </row>
    <row r="43" spans="2:10" x14ac:dyDescent="0.3">
      <c r="B43" s="89"/>
      <c r="C43" s="101" t="s">
        <v>145</v>
      </c>
      <c r="D43" s="89"/>
      <c r="E43" s="89"/>
      <c r="F43" s="89"/>
      <c r="G43" s="89"/>
      <c r="H43" s="89"/>
      <c r="I43" s="89"/>
      <c r="J43" s="89"/>
    </row>
    <row r="44" spans="2:10" x14ac:dyDescent="0.3">
      <c r="B44" s="89"/>
      <c r="C44" s="89" t="s">
        <v>146</v>
      </c>
      <c r="D44" s="89"/>
      <c r="E44" s="89"/>
      <c r="F44" s="89"/>
      <c r="G44" s="89"/>
      <c r="H44" s="89"/>
      <c r="I44" s="89"/>
      <c r="J44" s="89"/>
    </row>
    <row r="45" spans="2:10" x14ac:dyDescent="0.3">
      <c r="B45" s="89"/>
      <c r="C45" s="89" t="s">
        <v>147</v>
      </c>
      <c r="D45" s="89"/>
      <c r="E45" s="89"/>
      <c r="F45" s="89"/>
      <c r="G45" s="89"/>
      <c r="H45" s="89"/>
      <c r="I45" s="89"/>
      <c r="J45" s="89"/>
    </row>
    <row r="46" spans="2:10" x14ac:dyDescent="0.3">
      <c r="B46" s="89"/>
      <c r="C46" s="89" t="s">
        <v>110</v>
      </c>
      <c r="D46" s="89"/>
      <c r="E46" s="89"/>
      <c r="F46" s="89"/>
      <c r="G46" s="89"/>
      <c r="H46" s="89"/>
      <c r="I46" s="89"/>
      <c r="J46" s="89"/>
    </row>
    <row r="47" spans="2:10" x14ac:dyDescent="0.3">
      <c r="B47" s="89"/>
      <c r="C47" s="89"/>
      <c r="D47" s="89"/>
      <c r="E47" s="89"/>
      <c r="F47" s="89"/>
      <c r="G47" s="89"/>
      <c r="H47" s="89"/>
      <c r="I47" s="89"/>
      <c r="J47" s="89"/>
    </row>
    <row r="48" spans="2:10" x14ac:dyDescent="0.3">
      <c r="B48" s="102" t="s">
        <v>49</v>
      </c>
      <c r="C48" s="102"/>
      <c r="D48" s="102"/>
      <c r="E48" s="102"/>
      <c r="F48" s="102"/>
      <c r="G48" s="102"/>
      <c r="H48" s="102"/>
      <c r="I48" s="102"/>
      <c r="J48" s="102"/>
    </row>
    <row r="49" x14ac:dyDescent="0.3"/>
  </sheetData>
  <mergeCells count="2">
    <mergeCell ref="H6:I6"/>
    <mergeCell ref="F22:I38"/>
  </mergeCells>
  <dataValidations count="2">
    <dataValidation type="list" allowBlank="1" showInputMessage="1" showErrorMessage="1" sqref="H6:I6">
      <formula1>"Player's Prediction, Actual Results"</formula1>
    </dataValidation>
    <dataValidation type="list" allowBlank="1" showInputMessage="1" showErrorMessage="1" sqref="H7:H8">
      <formula1>"Yes, No"</formula1>
    </dataValidation>
  </dataValidations>
  <pageMargins left="0.2" right="0.2" top="0.25" bottom="0.2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U112"/>
  <sheetViews>
    <sheetView showGridLines="0" zoomScaleNormal="100" workbookViewId="0">
      <selection activeCell="Q16" sqref="Q16"/>
    </sheetView>
  </sheetViews>
  <sheetFormatPr defaultColWidth="0" defaultRowHeight="14.4" zeroHeight="1" x14ac:dyDescent="0.3"/>
  <cols>
    <col min="1" max="1" width="3.109375" style="109" customWidth="1"/>
    <col min="2" max="2" width="2.33203125" style="8" customWidth="1"/>
    <col min="3" max="3" width="6.77734375" style="9" customWidth="1"/>
    <col min="4" max="4" width="5.109375" style="9" customWidth="1"/>
    <col min="5" max="5" width="10.109375" style="10" customWidth="1"/>
    <col min="6" max="6" width="19.44140625" style="11" customWidth="1"/>
    <col min="7" max="8" width="3.6640625" style="8" customWidth="1"/>
    <col min="9" max="9" width="20.6640625" style="12" customWidth="1"/>
    <col min="10" max="11" width="3.6640625" style="8" customWidth="1"/>
    <col min="12" max="12" width="2.109375" style="8" customWidth="1"/>
    <col min="13" max="13" width="4.6640625" style="8" customWidth="1"/>
    <col min="14" max="14" width="20.6640625" style="8" customWidth="1"/>
    <col min="15" max="16" width="3.6640625" style="8" customWidth="1"/>
    <col min="17" max="17" width="20.6640625" style="8" customWidth="1"/>
    <col min="18" max="19" width="3.6640625" style="8" customWidth="1"/>
    <col min="20" max="20" width="1.6640625" style="8" customWidth="1"/>
    <col min="21" max="22" width="7.6640625" style="8" customWidth="1"/>
    <col min="23" max="23" width="2.6640625" style="8" customWidth="1"/>
    <col min="24" max="24" width="4.6640625" style="8" customWidth="1"/>
    <col min="25" max="25" width="20.6640625" style="8" customWidth="1"/>
    <col min="26" max="27" width="3.6640625" style="8" customWidth="1"/>
    <col min="28" max="28" width="20.6640625" style="8" customWidth="1"/>
    <col min="29" max="30" width="3.6640625" style="8" customWidth="1"/>
    <col min="31" max="31" width="1.6640625" style="8" customWidth="1"/>
    <col min="32" max="33" width="7.6640625" style="8" customWidth="1"/>
    <col min="34" max="34" width="2.6640625" style="8" customWidth="1"/>
    <col min="35" max="35" width="4.6640625" style="8" customWidth="1"/>
    <col min="36" max="36" width="20.6640625" style="8" customWidth="1"/>
    <col min="37" max="38" width="3.6640625" style="8" customWidth="1"/>
    <col min="39" max="39" width="20.6640625" style="8" customWidth="1"/>
    <col min="40" max="41" width="3.6640625" style="8" customWidth="1"/>
    <col min="42" max="42" width="1.6640625" style="8" customWidth="1"/>
    <col min="43" max="44" width="7.6640625" style="8" customWidth="1"/>
    <col min="45" max="45" width="2.6640625" style="8" customWidth="1"/>
    <col min="46" max="46" width="4.6640625" style="8" customWidth="1"/>
    <col min="47" max="47" width="20.6640625" style="8" customWidth="1"/>
    <col min="48" max="49" width="3.6640625" style="8" customWidth="1"/>
    <col min="50" max="50" width="20.6640625" style="8" customWidth="1"/>
    <col min="51" max="52" width="3.6640625" style="8" customWidth="1"/>
    <col min="53" max="53" width="1.6640625" style="8" customWidth="1"/>
    <col min="54" max="55" width="7.6640625" style="8" customWidth="1"/>
    <col min="56" max="56" width="2.6640625" style="8" customWidth="1"/>
    <col min="57" max="57" width="4.6640625" style="8" customWidth="1"/>
    <col min="58" max="58" width="20.6640625" style="8" customWidth="1"/>
    <col min="59" max="60" width="3.6640625" style="8" customWidth="1"/>
    <col min="61" max="61" width="20.6640625" style="8" customWidth="1"/>
    <col min="62" max="63" width="3.6640625" style="8" customWidth="1"/>
    <col min="64" max="64" width="1.6640625" style="8" customWidth="1"/>
    <col min="65" max="66" width="7.6640625" style="8" customWidth="1"/>
    <col min="67" max="67" width="2.6640625" style="8" customWidth="1"/>
    <col min="68" max="68" width="3.109375" style="8" customWidth="1"/>
    <col min="69" max="1113" width="0" style="8" hidden="1" customWidth="1"/>
    <col min="1114" max="16384" width="8.77734375" style="8" hidden="1"/>
  </cols>
  <sheetData>
    <row r="1" spans="1:67" x14ac:dyDescent="0.3"/>
    <row r="2" spans="1:67" x14ac:dyDescent="0.3">
      <c r="B2" s="228" t="s">
        <v>70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1" t="str">
        <f>"SCORE PREDICTION BOARD FOR "&amp;UPPER(O4)</f>
        <v>SCORE PREDICTION BOARD FOR PLAYER 1</v>
      </c>
      <c r="N2" s="222"/>
      <c r="O2" s="222"/>
      <c r="P2" s="222"/>
      <c r="Q2" s="222"/>
      <c r="R2" s="222"/>
      <c r="S2" s="222"/>
      <c r="T2" s="222"/>
      <c r="U2" s="222"/>
      <c r="V2" s="222"/>
      <c r="W2" s="223"/>
      <c r="X2" s="222" t="str">
        <f>"SCORE PREDICTION FOR BOARD "&amp;UPPER(Z4)</f>
        <v>SCORE PREDICTION FOR BOARD PLAYER 2</v>
      </c>
      <c r="Y2" s="222"/>
      <c r="Z2" s="222"/>
      <c r="AA2" s="222"/>
      <c r="AB2" s="222"/>
      <c r="AC2" s="222"/>
      <c r="AD2" s="222"/>
      <c r="AE2" s="222"/>
      <c r="AF2" s="222"/>
      <c r="AG2" s="222"/>
      <c r="AH2" s="223"/>
      <c r="AI2" s="221" t="str">
        <f t="shared" ref="AI2" si="0">"SCORE PREDICTION FOR BOARD "&amp;UPPER(AK4)</f>
        <v>SCORE PREDICTION FOR BOARD PLAYER 3</v>
      </c>
      <c r="AJ2" s="222"/>
      <c r="AK2" s="222"/>
      <c r="AL2" s="222"/>
      <c r="AM2" s="222"/>
      <c r="AN2" s="222"/>
      <c r="AO2" s="222"/>
      <c r="AP2" s="222"/>
      <c r="AQ2" s="222"/>
      <c r="AR2" s="222"/>
      <c r="AS2" s="223"/>
      <c r="AT2" s="221" t="str">
        <f t="shared" ref="AT2" si="1">"SCORE PREDICTION FOR BOARD "&amp;UPPER(AV4)</f>
        <v>SCORE PREDICTION FOR BOARD PLAYER 4</v>
      </c>
      <c r="AU2" s="222"/>
      <c r="AV2" s="222"/>
      <c r="AW2" s="222"/>
      <c r="AX2" s="222"/>
      <c r="AY2" s="222"/>
      <c r="AZ2" s="222"/>
      <c r="BA2" s="222"/>
      <c r="BB2" s="222"/>
      <c r="BC2" s="222"/>
      <c r="BD2" s="223"/>
      <c r="BE2" s="221" t="str">
        <f t="shared" ref="BE2" si="2">"SCORE PREDICTION FOR BOARD "&amp;UPPER(BG4)</f>
        <v>SCORE PREDICTION FOR BOARD PLAYER 5</v>
      </c>
      <c r="BF2" s="222"/>
      <c r="BG2" s="222"/>
      <c r="BH2" s="222"/>
      <c r="BI2" s="222"/>
      <c r="BJ2" s="222"/>
      <c r="BK2" s="222"/>
      <c r="BL2" s="222"/>
      <c r="BM2" s="222"/>
      <c r="BN2" s="222"/>
      <c r="BO2" s="223"/>
    </row>
    <row r="3" spans="1:67" ht="15.45" customHeight="1" x14ac:dyDescent="0.3">
      <c r="B3" s="230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2">
        <v>1</v>
      </c>
      <c r="N3" s="13"/>
      <c r="O3" s="14"/>
      <c r="P3" s="14"/>
      <c r="Q3" s="15"/>
      <c r="R3" s="14"/>
      <c r="S3" s="14"/>
      <c r="T3" s="14"/>
      <c r="U3" s="14"/>
      <c r="V3" s="14"/>
      <c r="W3" s="16"/>
      <c r="X3" s="207">
        <f>M3+1</f>
        <v>2</v>
      </c>
      <c r="Y3" s="13"/>
      <c r="Z3" s="14"/>
      <c r="AA3" s="14"/>
      <c r="AB3" s="15"/>
      <c r="AC3" s="14"/>
      <c r="AD3" s="14"/>
      <c r="AE3" s="14"/>
      <c r="AF3" s="14"/>
      <c r="AG3" s="14"/>
      <c r="AH3" s="16"/>
      <c r="AI3" s="207">
        <f t="shared" ref="AI3" si="3">X3+1</f>
        <v>3</v>
      </c>
      <c r="AJ3" s="13"/>
      <c r="AK3" s="14"/>
      <c r="AL3" s="14"/>
      <c r="AM3" s="15"/>
      <c r="AN3" s="14"/>
      <c r="AO3" s="14"/>
      <c r="AP3" s="14"/>
      <c r="AQ3" s="14"/>
      <c r="AR3" s="14"/>
      <c r="AS3" s="16"/>
      <c r="AT3" s="207">
        <f t="shared" ref="AT3" si="4">AI3+1</f>
        <v>4</v>
      </c>
      <c r="AU3" s="13"/>
      <c r="AV3" s="14"/>
      <c r="AW3" s="14"/>
      <c r="AX3" s="15"/>
      <c r="AY3" s="14"/>
      <c r="AZ3" s="14"/>
      <c r="BA3" s="14"/>
      <c r="BB3" s="14"/>
      <c r="BC3" s="14"/>
      <c r="BD3" s="16"/>
      <c r="BE3" s="207">
        <f t="shared" ref="BE3" si="5">AT3+1</f>
        <v>5</v>
      </c>
      <c r="BF3" s="13"/>
      <c r="BG3" s="14"/>
      <c r="BH3" s="14"/>
      <c r="BI3" s="15"/>
      <c r="BJ3" s="14"/>
      <c r="BK3" s="14"/>
      <c r="BL3" s="14"/>
      <c r="BM3" s="14"/>
      <c r="BN3" s="14"/>
      <c r="BO3" s="16"/>
    </row>
    <row r="4" spans="1:67" s="20" customFormat="1" ht="16.05" customHeight="1" x14ac:dyDescent="0.3">
      <c r="A4" s="158"/>
      <c r="B4" s="230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3"/>
      <c r="N4" s="17" t="s">
        <v>40</v>
      </c>
      <c r="O4" s="205" t="str">
        <f>IF(VLOOKUP(M3,'Player Scoreboard'!$B$9:$C$13,2,FALSE)&lt;&gt;"",VLOOKUP(M3,'Player Scoreboard'!$B$9:$C$13,2,FALSE),"")</f>
        <v>Player 1</v>
      </c>
      <c r="P4" s="206"/>
      <c r="Q4" s="206"/>
      <c r="R4" s="196" t="s">
        <v>43</v>
      </c>
      <c r="S4" s="197"/>
      <c r="T4" s="198"/>
      <c r="U4" s="18" t="s">
        <v>10</v>
      </c>
      <c r="V4" s="18" t="s">
        <v>42</v>
      </c>
      <c r="W4" s="19"/>
      <c r="X4" s="208"/>
      <c r="Y4" s="17" t="s">
        <v>40</v>
      </c>
      <c r="Z4" s="205" t="str">
        <f>IF(VLOOKUP(X3,'Player Scoreboard'!$B$9:$C$13,2,FALSE)&lt;&gt;"",VLOOKUP(X3,'Player Scoreboard'!$B$9:$C$13,2,FALSE),"")</f>
        <v>Player 2</v>
      </c>
      <c r="AA4" s="206"/>
      <c r="AB4" s="206"/>
      <c r="AC4" s="196" t="s">
        <v>43</v>
      </c>
      <c r="AD4" s="197"/>
      <c r="AE4" s="198"/>
      <c r="AF4" s="18" t="s">
        <v>10</v>
      </c>
      <c r="AG4" s="18" t="s">
        <v>42</v>
      </c>
      <c r="AH4" s="19"/>
      <c r="AI4" s="208"/>
      <c r="AJ4" s="17" t="s">
        <v>40</v>
      </c>
      <c r="AK4" s="205" t="str">
        <f>IF(VLOOKUP(AI3,'Player Scoreboard'!$B$9:$C$13,2,FALSE)&lt;&gt;"",VLOOKUP(AI3,'Player Scoreboard'!$B$9:$C$13,2,FALSE),"")</f>
        <v>Player 3</v>
      </c>
      <c r="AL4" s="206"/>
      <c r="AM4" s="206"/>
      <c r="AN4" s="196" t="s">
        <v>43</v>
      </c>
      <c r="AO4" s="197"/>
      <c r="AP4" s="198"/>
      <c r="AQ4" s="18" t="s">
        <v>10</v>
      </c>
      <c r="AR4" s="18" t="s">
        <v>42</v>
      </c>
      <c r="AS4" s="19"/>
      <c r="AT4" s="208"/>
      <c r="AU4" s="17" t="s">
        <v>40</v>
      </c>
      <c r="AV4" s="205" t="str">
        <f>IF(VLOOKUP(AT3,'Player Scoreboard'!$B$9:$C$13,2,FALSE)&lt;&gt;"",VLOOKUP(AT3,'Player Scoreboard'!$B$9:$C$13,2,FALSE),"")</f>
        <v>Player 4</v>
      </c>
      <c r="AW4" s="206"/>
      <c r="AX4" s="206"/>
      <c r="AY4" s="196" t="s">
        <v>43</v>
      </c>
      <c r="AZ4" s="197"/>
      <c r="BA4" s="198"/>
      <c r="BB4" s="18" t="s">
        <v>10</v>
      </c>
      <c r="BC4" s="18" t="s">
        <v>42</v>
      </c>
      <c r="BD4" s="19"/>
      <c r="BE4" s="208"/>
      <c r="BF4" s="17" t="s">
        <v>40</v>
      </c>
      <c r="BG4" s="205" t="str">
        <f>IF(VLOOKUP(BE3,'Player Scoreboard'!$B$9:$C$13,2,FALSE)&lt;&gt;"",VLOOKUP(BE3,'Player Scoreboard'!$B$9:$C$13,2,FALSE),"")</f>
        <v>Player 5</v>
      </c>
      <c r="BH4" s="206"/>
      <c r="BI4" s="206"/>
      <c r="BJ4" s="196" t="s">
        <v>43</v>
      </c>
      <c r="BK4" s="197"/>
      <c r="BL4" s="198"/>
      <c r="BM4" s="18" t="s">
        <v>10</v>
      </c>
      <c r="BN4" s="18" t="s">
        <v>42</v>
      </c>
      <c r="BO4" s="19"/>
    </row>
    <row r="5" spans="1:67" s="20" customFormat="1" ht="16.05" customHeight="1" x14ac:dyDescent="0.3">
      <c r="A5" s="158"/>
      <c r="B5" s="230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4"/>
      <c r="N5" s="17" t="s">
        <v>41</v>
      </c>
      <c r="O5" s="199">
        <f ca="1">IF(O4&lt;&gt;"",INDEX('Dummy Rank'!$F$5:$F$9,MATCH(M3,'Dummy Rank'!$A$5:$A$9,0),0),"")</f>
        <v>1</v>
      </c>
      <c r="P5" s="200"/>
      <c r="Q5" s="21"/>
      <c r="R5" s="199">
        <f>U5+V5</f>
        <v>0</v>
      </c>
      <c r="S5" s="201"/>
      <c r="T5" s="200"/>
      <c r="U5" s="22">
        <f>SUM(U21:U36)</f>
        <v>0</v>
      </c>
      <c r="V5" s="22">
        <f>SUM(V9:V12)+SUM(V21:V36)+SUM(V38:V40)+SUM(V42:V43)</f>
        <v>0</v>
      </c>
      <c r="W5" s="19"/>
      <c r="X5" s="208"/>
      <c r="Y5" s="17" t="s">
        <v>41</v>
      </c>
      <c r="Z5" s="199">
        <f ca="1">IF(Z4&lt;&gt;"",INDEX('Dummy Rank'!$F$5:$F$9,MATCH(X3,'Dummy Rank'!$A$5:$A$9,0),0),"")</f>
        <v>2</v>
      </c>
      <c r="AA5" s="200"/>
      <c r="AB5" s="21"/>
      <c r="AC5" s="199">
        <f>AF5+AG5</f>
        <v>0</v>
      </c>
      <c r="AD5" s="201"/>
      <c r="AE5" s="200"/>
      <c r="AF5" s="22">
        <f>SUM(AF21:AF36)</f>
        <v>0</v>
      </c>
      <c r="AG5" s="22">
        <f>SUM(AG9:AG12)+SUM(AG21:AG36)+SUM(AG38:AG40)+SUM(AG42:AG43)</f>
        <v>0</v>
      </c>
      <c r="AH5" s="19"/>
      <c r="AI5" s="208"/>
      <c r="AJ5" s="17" t="s">
        <v>41</v>
      </c>
      <c r="AK5" s="199">
        <f ca="1">IF(AK4&lt;&gt;"",INDEX('Dummy Rank'!$F$5:$F$9,MATCH(AI3,'Dummy Rank'!$A$5:$A$9,0),0),"")</f>
        <v>3</v>
      </c>
      <c r="AL5" s="200"/>
      <c r="AM5" s="21"/>
      <c r="AN5" s="199">
        <f t="shared" ref="AN5" si="6">AQ5+AR5</f>
        <v>0</v>
      </c>
      <c r="AO5" s="201"/>
      <c r="AP5" s="200"/>
      <c r="AQ5" s="22">
        <f t="shared" ref="AQ5" si="7">SUM(AQ21:AQ36)</f>
        <v>0</v>
      </c>
      <c r="AR5" s="22">
        <f t="shared" ref="AR5" si="8">SUM(AR9:AR12)+SUM(AR21:AR36)+SUM(AR38:AR40)+SUM(AR42:AR43)</f>
        <v>0</v>
      </c>
      <c r="AS5" s="19"/>
      <c r="AT5" s="208"/>
      <c r="AU5" s="17" t="s">
        <v>41</v>
      </c>
      <c r="AV5" s="199">
        <f ca="1">IF(AV4&lt;&gt;"",INDEX('Dummy Rank'!$F$5:$F$9,MATCH(AT3,'Dummy Rank'!$A$5:$A$9,0),0),"")</f>
        <v>4</v>
      </c>
      <c r="AW5" s="200"/>
      <c r="AX5" s="21"/>
      <c r="AY5" s="199">
        <f t="shared" ref="AY5" si="9">BB5+BC5</f>
        <v>0</v>
      </c>
      <c r="AZ5" s="201"/>
      <c r="BA5" s="200"/>
      <c r="BB5" s="22">
        <f t="shared" ref="BB5" si="10">SUM(BB21:BB36)</f>
        <v>0</v>
      </c>
      <c r="BC5" s="22">
        <f t="shared" ref="BC5" si="11">SUM(BC9:BC12)+SUM(BC21:BC36)+SUM(BC38:BC40)+SUM(BC42:BC43)</f>
        <v>0</v>
      </c>
      <c r="BD5" s="19"/>
      <c r="BE5" s="208"/>
      <c r="BF5" s="17" t="s">
        <v>41</v>
      </c>
      <c r="BG5" s="199">
        <f ca="1">IF(BG4&lt;&gt;"",INDEX('Dummy Rank'!$F$5:$F$9,MATCH(BE3,'Dummy Rank'!$A$5:$A$9,0),0),"")</f>
        <v>5</v>
      </c>
      <c r="BH5" s="200"/>
      <c r="BI5" s="21"/>
      <c r="BJ5" s="199">
        <f t="shared" ref="BJ5" si="12">BM5+BN5</f>
        <v>0</v>
      </c>
      <c r="BK5" s="201"/>
      <c r="BL5" s="200"/>
      <c r="BM5" s="22">
        <f t="shared" ref="BM5" si="13">SUM(BM21:BM36)</f>
        <v>0</v>
      </c>
      <c r="BN5" s="22">
        <f t="shared" ref="BN5" si="14">SUM(BN9:BN12)+SUM(BN21:BN36)+SUM(BN38:BN40)+SUM(BN42:BN43)</f>
        <v>0</v>
      </c>
      <c r="BO5" s="19"/>
    </row>
    <row r="6" spans="1:67" x14ac:dyDescent="0.3">
      <c r="B6" s="226" t="s">
        <v>114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09" t="s">
        <v>114</v>
      </c>
      <c r="N6" s="210"/>
      <c r="O6" s="210"/>
      <c r="P6" s="210"/>
      <c r="Q6" s="210"/>
      <c r="R6" s="210"/>
      <c r="S6" s="210"/>
      <c r="T6" s="210"/>
      <c r="U6" s="210"/>
      <c r="V6" s="210"/>
      <c r="W6" s="211"/>
      <c r="X6" s="209" t="s">
        <v>114</v>
      </c>
      <c r="Y6" s="210"/>
      <c r="Z6" s="210"/>
      <c r="AA6" s="210"/>
      <c r="AB6" s="210"/>
      <c r="AC6" s="210"/>
      <c r="AD6" s="210"/>
      <c r="AE6" s="210"/>
      <c r="AF6" s="210"/>
      <c r="AG6" s="210"/>
      <c r="AH6" s="211"/>
      <c r="AI6" s="209" t="s">
        <v>114</v>
      </c>
      <c r="AJ6" s="210"/>
      <c r="AK6" s="210"/>
      <c r="AL6" s="210"/>
      <c r="AM6" s="210"/>
      <c r="AN6" s="210"/>
      <c r="AO6" s="210"/>
      <c r="AP6" s="210"/>
      <c r="AQ6" s="210"/>
      <c r="AR6" s="210"/>
      <c r="AS6" s="211"/>
      <c r="AT6" s="209" t="s">
        <v>114</v>
      </c>
      <c r="AU6" s="210"/>
      <c r="AV6" s="210"/>
      <c r="AW6" s="210"/>
      <c r="AX6" s="210"/>
      <c r="AY6" s="210"/>
      <c r="AZ6" s="210"/>
      <c r="BA6" s="210"/>
      <c r="BB6" s="210"/>
      <c r="BC6" s="210"/>
      <c r="BD6" s="211"/>
      <c r="BE6" s="209" t="s">
        <v>114</v>
      </c>
      <c r="BF6" s="210"/>
      <c r="BG6" s="210"/>
      <c r="BH6" s="210"/>
      <c r="BI6" s="210"/>
      <c r="BJ6" s="210"/>
      <c r="BK6" s="210"/>
      <c r="BL6" s="210"/>
      <c r="BM6" s="210"/>
      <c r="BN6" s="210"/>
      <c r="BO6" s="211"/>
    </row>
    <row r="7" spans="1:67" x14ac:dyDescent="0.3">
      <c r="B7" s="23"/>
      <c r="C7" s="24"/>
      <c r="D7" s="24"/>
      <c r="E7" s="25"/>
      <c r="F7" s="26"/>
      <c r="G7" s="27"/>
      <c r="H7" s="27"/>
      <c r="I7" s="28"/>
      <c r="J7" s="27"/>
      <c r="K7" s="27"/>
      <c r="L7" s="27"/>
      <c r="M7" s="31"/>
      <c r="N7" s="13"/>
      <c r="O7" s="14"/>
      <c r="P7" s="14"/>
      <c r="Q7" s="15"/>
      <c r="R7" s="14"/>
      <c r="S7" s="14"/>
      <c r="T7" s="14"/>
      <c r="U7" s="14"/>
      <c r="V7" s="14"/>
      <c r="W7" s="16"/>
      <c r="X7" s="31"/>
      <c r="Y7" s="13"/>
      <c r="Z7" s="14"/>
      <c r="AA7" s="14"/>
      <c r="AB7" s="15"/>
      <c r="AC7" s="14"/>
      <c r="AD7" s="14"/>
      <c r="AE7" s="14"/>
      <c r="AF7" s="14"/>
      <c r="AG7" s="14"/>
      <c r="AH7" s="16"/>
      <c r="AI7" s="31"/>
      <c r="AJ7" s="13"/>
      <c r="AK7" s="14"/>
      <c r="AL7" s="14"/>
      <c r="AM7" s="15"/>
      <c r="AN7" s="14"/>
      <c r="AO7" s="14"/>
      <c r="AP7" s="14"/>
      <c r="AQ7" s="14"/>
      <c r="AR7" s="14"/>
      <c r="AS7" s="16"/>
      <c r="AT7" s="31"/>
      <c r="AU7" s="13"/>
      <c r="AV7" s="14"/>
      <c r="AW7" s="14"/>
      <c r="AX7" s="15"/>
      <c r="AY7" s="14"/>
      <c r="AZ7" s="14"/>
      <c r="BA7" s="14"/>
      <c r="BB7" s="14"/>
      <c r="BC7" s="14"/>
      <c r="BD7" s="16"/>
      <c r="BE7" s="31"/>
      <c r="BF7" s="13"/>
      <c r="BG7" s="14"/>
      <c r="BH7" s="14"/>
      <c r="BI7" s="15"/>
      <c r="BJ7" s="14"/>
      <c r="BK7" s="14"/>
      <c r="BL7" s="14"/>
      <c r="BM7" s="14"/>
      <c r="BN7" s="14"/>
      <c r="BO7" s="16"/>
    </row>
    <row r="8" spans="1:67" x14ac:dyDescent="0.3">
      <c r="B8" s="149"/>
      <c r="C8" s="150"/>
      <c r="D8" s="150"/>
      <c r="E8" s="151"/>
      <c r="F8" s="33" t="s">
        <v>33</v>
      </c>
      <c r="G8" s="224" t="s">
        <v>15</v>
      </c>
      <c r="H8" s="224"/>
      <c r="I8" s="34" t="s">
        <v>34</v>
      </c>
      <c r="J8" s="27"/>
      <c r="K8" s="27"/>
      <c r="L8" s="27"/>
      <c r="M8" s="31"/>
      <c r="N8" s="152"/>
      <c r="O8" s="202"/>
      <c r="P8" s="202"/>
      <c r="Q8" s="153"/>
      <c r="R8" s="154"/>
      <c r="S8" s="154"/>
      <c r="T8" s="154"/>
      <c r="U8" s="154"/>
      <c r="V8" s="185" t="s">
        <v>42</v>
      </c>
      <c r="W8" s="16"/>
      <c r="X8" s="31"/>
      <c r="Y8" s="171"/>
      <c r="Z8" s="225"/>
      <c r="AA8" s="225"/>
      <c r="AB8" s="172"/>
      <c r="AC8" s="173"/>
      <c r="AD8" s="174"/>
      <c r="AE8" s="154"/>
      <c r="AF8" s="154"/>
      <c r="AG8" s="185" t="s">
        <v>42</v>
      </c>
      <c r="AH8" s="16"/>
      <c r="AI8" s="31"/>
      <c r="AJ8" s="152"/>
      <c r="AK8" s="202"/>
      <c r="AL8" s="202"/>
      <c r="AM8" s="153"/>
      <c r="AN8" s="154"/>
      <c r="AO8" s="154"/>
      <c r="AP8" s="154"/>
      <c r="AQ8" s="154"/>
      <c r="AR8" s="185" t="s">
        <v>42</v>
      </c>
      <c r="AS8" s="16"/>
      <c r="AT8" s="31"/>
      <c r="AU8" s="152"/>
      <c r="AV8" s="202"/>
      <c r="AW8" s="202"/>
      <c r="AX8" s="153"/>
      <c r="AY8" s="154"/>
      <c r="AZ8" s="154"/>
      <c r="BA8" s="154"/>
      <c r="BB8" s="154"/>
      <c r="BC8" s="185" t="s">
        <v>42</v>
      </c>
      <c r="BD8" s="16"/>
      <c r="BE8" s="31"/>
      <c r="BF8" s="152"/>
      <c r="BG8" s="202"/>
      <c r="BH8" s="202"/>
      <c r="BI8" s="153"/>
      <c r="BJ8" s="154"/>
      <c r="BK8" s="154"/>
      <c r="BL8" s="154"/>
      <c r="BM8" s="154"/>
      <c r="BN8" s="185" t="s">
        <v>42</v>
      </c>
      <c r="BO8" s="16"/>
    </row>
    <row r="9" spans="1:67" x14ac:dyDescent="0.3">
      <c r="B9" s="149"/>
      <c r="C9" s="150"/>
      <c r="D9" s="150"/>
      <c r="E9" s="151"/>
      <c r="F9" s="176" t="s">
        <v>18</v>
      </c>
      <c r="G9" s="214" t="s">
        <v>16</v>
      </c>
      <c r="H9" s="214"/>
      <c r="I9" s="157" t="s">
        <v>17</v>
      </c>
      <c r="J9" s="27"/>
      <c r="K9" s="27"/>
      <c r="L9" s="27"/>
      <c r="M9" s="31"/>
      <c r="N9" s="159" t="s">
        <v>121</v>
      </c>
      <c r="O9" s="160"/>
      <c r="P9" s="160"/>
      <c r="Q9" s="161"/>
      <c r="R9" s="220">
        <f>IF($L$28&lt;&gt;0,SUMPRODUCT(COUNTIF(M21:M28,quarterfinalist)),0)</f>
        <v>0</v>
      </c>
      <c r="S9" s="220"/>
      <c r="T9" s="154"/>
      <c r="U9" s="154"/>
      <c r="V9" s="184"/>
      <c r="W9" s="16"/>
      <c r="X9" s="31"/>
      <c r="Y9" s="159" t="s">
        <v>121</v>
      </c>
      <c r="Z9" s="160"/>
      <c r="AA9" s="160"/>
      <c r="AB9" s="161"/>
      <c r="AC9" s="220">
        <f>IF($L$28&lt;&gt;0,SUMPRODUCT(COUNTIF(X21:X28,quarterfinalist)),0)</f>
        <v>0</v>
      </c>
      <c r="AD9" s="220"/>
      <c r="AE9" s="154"/>
      <c r="AF9" s="154"/>
      <c r="AG9" s="184"/>
      <c r="AH9" s="16"/>
      <c r="AI9" s="31"/>
      <c r="AJ9" s="159" t="s">
        <v>121</v>
      </c>
      <c r="AK9" s="160"/>
      <c r="AL9" s="160"/>
      <c r="AM9" s="161"/>
      <c r="AN9" s="220">
        <f>IF($L$28&lt;&gt;0,SUMPRODUCT(COUNTIF(AI21:AI28,quarterfinalist)),0)</f>
        <v>0</v>
      </c>
      <c r="AO9" s="220"/>
      <c r="AP9" s="154"/>
      <c r="AQ9" s="154"/>
      <c r="AR9" s="184"/>
      <c r="AS9" s="16"/>
      <c r="AT9" s="31"/>
      <c r="AU9" s="159" t="s">
        <v>121</v>
      </c>
      <c r="AV9" s="160"/>
      <c r="AW9" s="160"/>
      <c r="AX9" s="161"/>
      <c r="AY9" s="220">
        <f>IF($L$28&lt;&gt;0,SUMPRODUCT(COUNTIF(AT21:AT28,quarterfinalist)),0)</f>
        <v>0</v>
      </c>
      <c r="AZ9" s="220"/>
      <c r="BA9" s="154"/>
      <c r="BB9" s="154"/>
      <c r="BC9" s="184"/>
      <c r="BD9" s="16"/>
      <c r="BE9" s="31"/>
      <c r="BF9" s="159" t="s">
        <v>121</v>
      </c>
      <c r="BG9" s="160"/>
      <c r="BH9" s="160"/>
      <c r="BI9" s="161"/>
      <c r="BJ9" s="220">
        <f>IF($L$28&lt;&gt;0,SUMPRODUCT(COUNTIF(BE21:BE28,quarterfinalist)),0)</f>
        <v>0</v>
      </c>
      <c r="BK9" s="220"/>
      <c r="BL9" s="154"/>
      <c r="BM9" s="154"/>
      <c r="BN9" s="184"/>
      <c r="BO9" s="16"/>
    </row>
    <row r="10" spans="1:67" x14ac:dyDescent="0.3">
      <c r="B10" s="149"/>
      <c r="C10" s="150"/>
      <c r="D10" s="150"/>
      <c r="E10" s="151"/>
      <c r="F10" s="176" t="s">
        <v>21</v>
      </c>
      <c r="G10" s="214" t="s">
        <v>19</v>
      </c>
      <c r="H10" s="214"/>
      <c r="I10" s="177" t="s">
        <v>20</v>
      </c>
      <c r="J10" s="27"/>
      <c r="K10" s="27"/>
      <c r="L10" s="27"/>
      <c r="M10" s="31"/>
      <c r="N10" s="159" t="s">
        <v>123</v>
      </c>
      <c r="O10" s="160"/>
      <c r="P10" s="160"/>
      <c r="Q10" s="161"/>
      <c r="R10" s="220">
        <f>IF($L$32&lt;&gt;0,SUMPRODUCT(COUNTIF(M29:M32,semifinalist)),0)</f>
        <v>0</v>
      </c>
      <c r="S10" s="220"/>
      <c r="T10" s="154"/>
      <c r="U10" s="154"/>
      <c r="V10" s="184"/>
      <c r="W10" s="16"/>
      <c r="X10" s="31"/>
      <c r="Y10" s="159" t="s">
        <v>123</v>
      </c>
      <c r="Z10" s="160"/>
      <c r="AA10" s="160"/>
      <c r="AB10" s="161"/>
      <c r="AC10" s="220">
        <f>IF($L$32&lt;&gt;0,SUMPRODUCT(COUNTIF(X29:X32,semifinalist)),0)</f>
        <v>0</v>
      </c>
      <c r="AD10" s="220"/>
      <c r="AE10" s="154"/>
      <c r="AF10" s="154"/>
      <c r="AG10" s="184"/>
      <c r="AH10" s="16"/>
      <c r="AI10" s="31"/>
      <c r="AJ10" s="159" t="s">
        <v>123</v>
      </c>
      <c r="AK10" s="160"/>
      <c r="AL10" s="160"/>
      <c r="AM10" s="161"/>
      <c r="AN10" s="220">
        <f>IF($L$32&lt;&gt;0,SUMPRODUCT(COUNTIF(AI29:AI32,semifinalist)),0)</f>
        <v>0</v>
      </c>
      <c r="AO10" s="220"/>
      <c r="AP10" s="154"/>
      <c r="AQ10" s="154"/>
      <c r="AR10" s="184"/>
      <c r="AS10" s="16"/>
      <c r="AT10" s="31"/>
      <c r="AU10" s="159" t="s">
        <v>123</v>
      </c>
      <c r="AV10" s="160"/>
      <c r="AW10" s="160"/>
      <c r="AX10" s="161"/>
      <c r="AY10" s="220">
        <f>IF($L$32&lt;&gt;0,SUMPRODUCT(COUNTIF(AT29:AT32,semifinalist)),0)</f>
        <v>0</v>
      </c>
      <c r="AZ10" s="220"/>
      <c r="BA10" s="154"/>
      <c r="BB10" s="154"/>
      <c r="BC10" s="184"/>
      <c r="BD10" s="16"/>
      <c r="BE10" s="31"/>
      <c r="BF10" s="159" t="s">
        <v>123</v>
      </c>
      <c r="BG10" s="160"/>
      <c r="BH10" s="160"/>
      <c r="BI10" s="161"/>
      <c r="BJ10" s="220">
        <f>IF($L$32&lt;&gt;0,SUMPRODUCT(COUNTIF(BE29:BE32,semifinalist)),0)</f>
        <v>0</v>
      </c>
      <c r="BK10" s="220"/>
      <c r="BL10" s="154"/>
      <c r="BM10" s="154"/>
      <c r="BN10" s="184"/>
      <c r="BO10" s="16"/>
    </row>
    <row r="11" spans="1:67" ht="14.55" customHeight="1" x14ac:dyDescent="0.3">
      <c r="B11" s="149"/>
      <c r="C11" s="150"/>
      <c r="D11" s="150"/>
      <c r="E11" s="151"/>
      <c r="F11" s="176" t="s">
        <v>23</v>
      </c>
      <c r="G11" s="214" t="s">
        <v>22</v>
      </c>
      <c r="H11" s="214"/>
      <c r="I11" s="177" t="s">
        <v>24</v>
      </c>
      <c r="J11" s="27"/>
      <c r="K11" s="27"/>
      <c r="L11" s="27"/>
      <c r="M11" s="31"/>
      <c r="N11" s="159" t="s">
        <v>122</v>
      </c>
      <c r="O11" s="160"/>
      <c r="P11" s="160"/>
      <c r="Q11" s="161"/>
      <c r="R11" s="220">
        <f>IF($L$34&lt;&gt;0,SUMPRODUCT(COUNTIF(M33:M34,finalist)),0)</f>
        <v>0</v>
      </c>
      <c r="S11" s="220"/>
      <c r="T11" s="154"/>
      <c r="U11" s="154"/>
      <c r="V11" s="184"/>
      <c r="W11" s="16"/>
      <c r="X11" s="31"/>
      <c r="Y11" s="159" t="s">
        <v>122</v>
      </c>
      <c r="Z11" s="160"/>
      <c r="AA11" s="160"/>
      <c r="AB11" s="161"/>
      <c r="AC11" s="220">
        <f>IF($L$34&lt;&gt;0,SUMPRODUCT(COUNTIF(X33:X34,finalist)),0)</f>
        <v>0</v>
      </c>
      <c r="AD11" s="220"/>
      <c r="AE11" s="154"/>
      <c r="AF11" s="154"/>
      <c r="AG11" s="184"/>
      <c r="AH11" s="16"/>
      <c r="AI11" s="31"/>
      <c r="AJ11" s="159" t="s">
        <v>122</v>
      </c>
      <c r="AK11" s="160"/>
      <c r="AL11" s="160"/>
      <c r="AM11" s="161"/>
      <c r="AN11" s="220">
        <f>IF($L$34&lt;&gt;0,SUMPRODUCT(COUNTIF(AI33:AI34,finalist)),0)</f>
        <v>0</v>
      </c>
      <c r="AO11" s="220"/>
      <c r="AP11" s="154"/>
      <c r="AQ11" s="154"/>
      <c r="AR11" s="184"/>
      <c r="AS11" s="16"/>
      <c r="AT11" s="31"/>
      <c r="AU11" s="159" t="s">
        <v>122</v>
      </c>
      <c r="AV11" s="160"/>
      <c r="AW11" s="160"/>
      <c r="AX11" s="161"/>
      <c r="AY11" s="220">
        <f>IF($L$34&lt;&gt;0,SUMPRODUCT(COUNTIF(AT33:AT34,finalist)),0)</f>
        <v>0</v>
      </c>
      <c r="AZ11" s="220"/>
      <c r="BA11" s="154"/>
      <c r="BB11" s="154"/>
      <c r="BC11" s="184"/>
      <c r="BD11" s="16"/>
      <c r="BE11" s="31"/>
      <c r="BF11" s="159" t="s">
        <v>122</v>
      </c>
      <c r="BG11" s="160"/>
      <c r="BH11" s="160"/>
      <c r="BI11" s="161"/>
      <c r="BJ11" s="220">
        <f>IF($L$34&lt;&gt;0,SUMPRODUCT(COUNTIF(BE33:BE34,finalist)),0)</f>
        <v>0</v>
      </c>
      <c r="BK11" s="220"/>
      <c r="BL11" s="154"/>
      <c r="BM11" s="154"/>
      <c r="BN11" s="184"/>
      <c r="BO11" s="16"/>
    </row>
    <row r="12" spans="1:67" ht="14.55" customHeight="1" x14ac:dyDescent="0.3">
      <c r="B12" s="149"/>
      <c r="C12" s="150"/>
      <c r="D12" s="150"/>
      <c r="E12" s="151"/>
      <c r="F12" s="176" t="s">
        <v>27</v>
      </c>
      <c r="G12" s="214" t="s">
        <v>25</v>
      </c>
      <c r="H12" s="214"/>
      <c r="I12" s="177" t="s">
        <v>26</v>
      </c>
      <c r="J12" s="27"/>
      <c r="K12" s="27"/>
      <c r="L12" s="27"/>
      <c r="M12" s="31"/>
      <c r="N12" s="159" t="s">
        <v>134</v>
      </c>
      <c r="O12" s="160"/>
      <c r="P12" s="160"/>
      <c r="Q12" s="161"/>
      <c r="R12" s="220">
        <f>MAX(W21:W36)</f>
        <v>0</v>
      </c>
      <c r="S12" s="220"/>
      <c r="T12" s="154"/>
      <c r="U12" s="154"/>
      <c r="V12" s="184"/>
      <c r="W12" s="16"/>
      <c r="X12" s="31"/>
      <c r="Y12" s="159" t="s">
        <v>134</v>
      </c>
      <c r="Z12" s="160"/>
      <c r="AA12" s="160"/>
      <c r="AB12" s="161"/>
      <c r="AC12" s="220">
        <f>MAX(AH21:AH36)</f>
        <v>0</v>
      </c>
      <c r="AD12" s="220"/>
      <c r="AE12" s="154"/>
      <c r="AF12" s="154"/>
      <c r="AG12" s="184"/>
      <c r="AH12" s="16"/>
      <c r="AI12" s="31"/>
      <c r="AJ12" s="159" t="s">
        <v>134</v>
      </c>
      <c r="AK12" s="160"/>
      <c r="AL12" s="160"/>
      <c r="AM12" s="161"/>
      <c r="AN12" s="220">
        <f t="shared" ref="AN12" si="15">MAX(AS21:AS36)</f>
        <v>0</v>
      </c>
      <c r="AO12" s="220"/>
      <c r="AP12" s="154"/>
      <c r="AQ12" s="154"/>
      <c r="AR12" s="184"/>
      <c r="AS12" s="16"/>
      <c r="AT12" s="31"/>
      <c r="AU12" s="159" t="s">
        <v>134</v>
      </c>
      <c r="AV12" s="160"/>
      <c r="AW12" s="160"/>
      <c r="AX12" s="161"/>
      <c r="AY12" s="220">
        <f t="shared" ref="AY12" si="16">MAX(BD21:BD36)</f>
        <v>0</v>
      </c>
      <c r="AZ12" s="220"/>
      <c r="BA12" s="154"/>
      <c r="BB12" s="154"/>
      <c r="BC12" s="184"/>
      <c r="BD12" s="16"/>
      <c r="BE12" s="31"/>
      <c r="BF12" s="159" t="s">
        <v>134</v>
      </c>
      <c r="BG12" s="160"/>
      <c r="BH12" s="160"/>
      <c r="BI12" s="161"/>
      <c r="BJ12" s="220">
        <f t="shared" ref="BJ12" si="17">MAX(BO21:BO36)</f>
        <v>0</v>
      </c>
      <c r="BK12" s="220"/>
      <c r="BL12" s="154"/>
      <c r="BM12" s="154"/>
      <c r="BN12" s="184"/>
      <c r="BO12" s="16"/>
    </row>
    <row r="13" spans="1:67" x14ac:dyDescent="0.3">
      <c r="B13" s="149"/>
      <c r="C13" s="150"/>
      <c r="D13" s="150"/>
      <c r="E13" s="151"/>
      <c r="F13" s="176" t="s">
        <v>158</v>
      </c>
      <c r="G13" s="214" t="s">
        <v>28</v>
      </c>
      <c r="H13" s="214"/>
      <c r="I13" s="177" t="s">
        <v>159</v>
      </c>
      <c r="J13" s="27"/>
      <c r="K13" s="27"/>
      <c r="L13" s="27"/>
      <c r="M13" s="31"/>
      <c r="N13" s="152"/>
      <c r="O13" s="202"/>
      <c r="P13" s="202"/>
      <c r="Q13" s="153"/>
      <c r="R13" s="154"/>
      <c r="S13" s="154"/>
      <c r="T13" s="154"/>
      <c r="U13" s="154"/>
      <c r="V13" s="155"/>
      <c r="W13" s="16"/>
      <c r="X13" s="31"/>
      <c r="Y13" s="13"/>
      <c r="Z13" s="212"/>
      <c r="AA13" s="212"/>
      <c r="AB13" s="15"/>
      <c r="AC13" s="14"/>
      <c r="AD13" s="14"/>
      <c r="AE13" s="14"/>
      <c r="AF13" s="14"/>
      <c r="AG13" s="179"/>
      <c r="AH13" s="16"/>
      <c r="AI13" s="31"/>
      <c r="AJ13" s="13"/>
      <c r="AK13" s="212"/>
      <c r="AL13" s="212"/>
      <c r="AM13" s="15"/>
      <c r="AN13" s="14"/>
      <c r="AO13" s="14"/>
      <c r="AP13" s="14"/>
      <c r="AQ13" s="14"/>
      <c r="AR13" s="179"/>
      <c r="AS13" s="16"/>
      <c r="AT13" s="31"/>
      <c r="AU13" s="13"/>
      <c r="AV13" s="212"/>
      <c r="AW13" s="212"/>
      <c r="AX13" s="15"/>
      <c r="AY13" s="14"/>
      <c r="AZ13" s="14"/>
      <c r="BA13" s="14"/>
      <c r="BB13" s="14"/>
      <c r="BC13" s="179"/>
      <c r="BD13" s="16"/>
      <c r="BE13" s="31"/>
      <c r="BF13" s="13"/>
      <c r="BG13" s="212"/>
      <c r="BH13" s="212"/>
      <c r="BI13" s="15"/>
      <c r="BJ13" s="14"/>
      <c r="BK13" s="14"/>
      <c r="BL13" s="14"/>
      <c r="BM13" s="14"/>
      <c r="BN13" s="179"/>
      <c r="BO13" s="16"/>
    </row>
    <row r="14" spans="1:67" x14ac:dyDescent="0.3">
      <c r="B14" s="149"/>
      <c r="C14" s="150"/>
      <c r="D14" s="150"/>
      <c r="E14" s="151"/>
      <c r="F14" s="176" t="s">
        <v>115</v>
      </c>
      <c r="G14" s="214" t="s">
        <v>29</v>
      </c>
      <c r="H14" s="214"/>
      <c r="I14" s="177" t="s">
        <v>118</v>
      </c>
      <c r="J14" s="27"/>
      <c r="K14" s="27"/>
      <c r="L14" s="27"/>
      <c r="M14" s="31"/>
      <c r="N14" s="152"/>
      <c r="O14" s="202"/>
      <c r="P14" s="202"/>
      <c r="Q14" s="153"/>
      <c r="R14" s="154"/>
      <c r="S14" s="154"/>
      <c r="T14" s="154"/>
      <c r="U14" s="154"/>
      <c r="V14" s="155"/>
      <c r="W14" s="16"/>
      <c r="X14" s="31"/>
      <c r="Y14" s="13"/>
      <c r="Z14" s="212"/>
      <c r="AA14" s="212"/>
      <c r="AB14" s="15"/>
      <c r="AC14" s="14"/>
      <c r="AD14" s="14"/>
      <c r="AE14" s="14"/>
      <c r="AF14" s="14"/>
      <c r="AG14" s="179"/>
      <c r="AH14" s="16"/>
      <c r="AI14" s="31"/>
      <c r="AJ14" s="13"/>
      <c r="AK14" s="212"/>
      <c r="AL14" s="212"/>
      <c r="AM14" s="15"/>
      <c r="AN14" s="14"/>
      <c r="AO14" s="14"/>
      <c r="AP14" s="14"/>
      <c r="AQ14" s="14"/>
      <c r="AR14" s="179"/>
      <c r="AS14" s="16"/>
      <c r="AT14" s="31"/>
      <c r="AU14" s="13"/>
      <c r="AV14" s="212"/>
      <c r="AW14" s="212"/>
      <c r="AX14" s="15"/>
      <c r="AY14" s="14"/>
      <c r="AZ14" s="14"/>
      <c r="BA14" s="14"/>
      <c r="BB14" s="14"/>
      <c r="BC14" s="179"/>
      <c r="BD14" s="16"/>
      <c r="BE14" s="31"/>
      <c r="BF14" s="13"/>
      <c r="BG14" s="212"/>
      <c r="BH14" s="212"/>
      <c r="BI14" s="15"/>
      <c r="BJ14" s="14"/>
      <c r="BK14" s="14"/>
      <c r="BL14" s="14"/>
      <c r="BM14" s="14"/>
      <c r="BN14" s="179"/>
      <c r="BO14" s="16"/>
    </row>
    <row r="15" spans="1:67" x14ac:dyDescent="0.3">
      <c r="B15" s="149"/>
      <c r="C15" s="150"/>
      <c r="D15" s="150"/>
      <c r="E15" s="151"/>
      <c r="F15" s="176" t="s">
        <v>116</v>
      </c>
      <c r="G15" s="214" t="s">
        <v>30</v>
      </c>
      <c r="H15" s="214"/>
      <c r="I15" s="177" t="s">
        <v>119</v>
      </c>
      <c r="J15" s="27"/>
      <c r="K15" s="27"/>
      <c r="L15" s="27"/>
      <c r="M15" s="31"/>
      <c r="N15" s="152"/>
      <c r="O15" s="202"/>
      <c r="P15" s="202"/>
      <c r="Q15" s="153"/>
      <c r="R15" s="154"/>
      <c r="S15" s="154"/>
      <c r="T15" s="154"/>
      <c r="U15" s="154"/>
      <c r="V15" s="155"/>
      <c r="W15" s="16"/>
      <c r="X15" s="31"/>
      <c r="Y15" s="13"/>
      <c r="Z15" s="212"/>
      <c r="AA15" s="212"/>
      <c r="AB15" s="15"/>
      <c r="AC15" s="14"/>
      <c r="AD15" s="14"/>
      <c r="AE15" s="14"/>
      <c r="AF15" s="14"/>
      <c r="AG15" s="179"/>
      <c r="AH15" s="16"/>
      <c r="AI15" s="31"/>
      <c r="AJ15" s="13"/>
      <c r="AK15" s="212"/>
      <c r="AL15" s="212"/>
      <c r="AM15" s="15"/>
      <c r="AN15" s="14"/>
      <c r="AO15" s="14"/>
      <c r="AP15" s="14"/>
      <c r="AQ15" s="14"/>
      <c r="AR15" s="179"/>
      <c r="AS15" s="16"/>
      <c r="AT15" s="31"/>
      <c r="AU15" s="13"/>
      <c r="AV15" s="212"/>
      <c r="AW15" s="212"/>
      <c r="AX15" s="15"/>
      <c r="AY15" s="14"/>
      <c r="AZ15" s="14"/>
      <c r="BA15" s="14"/>
      <c r="BB15" s="14"/>
      <c r="BC15" s="179"/>
      <c r="BD15" s="16"/>
      <c r="BE15" s="31"/>
      <c r="BF15" s="13"/>
      <c r="BG15" s="212"/>
      <c r="BH15" s="212"/>
      <c r="BI15" s="15"/>
      <c r="BJ15" s="14"/>
      <c r="BK15" s="14"/>
      <c r="BL15" s="14"/>
      <c r="BM15" s="14"/>
      <c r="BN15" s="179"/>
      <c r="BO15" s="16"/>
    </row>
    <row r="16" spans="1:67" x14ac:dyDescent="0.3">
      <c r="B16" s="149"/>
      <c r="C16" s="150"/>
      <c r="D16" s="150"/>
      <c r="E16" s="151"/>
      <c r="F16" s="176" t="s">
        <v>117</v>
      </c>
      <c r="G16" s="214" t="s">
        <v>31</v>
      </c>
      <c r="H16" s="214"/>
      <c r="I16" s="177" t="s">
        <v>120</v>
      </c>
      <c r="J16" s="27"/>
      <c r="K16" s="27"/>
      <c r="L16" s="27"/>
      <c r="M16" s="31"/>
      <c r="N16" s="152"/>
      <c r="O16" s="202"/>
      <c r="P16" s="202"/>
      <c r="Q16" s="153"/>
      <c r="R16" s="154"/>
      <c r="S16" s="154"/>
      <c r="T16" s="154"/>
      <c r="U16" s="154"/>
      <c r="V16" s="155"/>
      <c r="W16" s="16"/>
      <c r="X16" s="31"/>
      <c r="Y16" s="13"/>
      <c r="Z16" s="212"/>
      <c r="AA16" s="212"/>
      <c r="AB16" s="15"/>
      <c r="AC16" s="14"/>
      <c r="AD16" s="14"/>
      <c r="AE16" s="14"/>
      <c r="AF16" s="14"/>
      <c r="AG16" s="179"/>
      <c r="AH16" s="16"/>
      <c r="AI16" s="31"/>
      <c r="AJ16" s="13"/>
      <c r="AK16" s="212"/>
      <c r="AL16" s="212"/>
      <c r="AM16" s="15"/>
      <c r="AN16" s="14"/>
      <c r="AO16" s="14"/>
      <c r="AP16" s="14"/>
      <c r="AQ16" s="14"/>
      <c r="AR16" s="179"/>
      <c r="AS16" s="16"/>
      <c r="AT16" s="31"/>
      <c r="AU16" s="13"/>
      <c r="AV16" s="212"/>
      <c r="AW16" s="212"/>
      <c r="AX16" s="15"/>
      <c r="AY16" s="14"/>
      <c r="AZ16" s="14"/>
      <c r="BA16" s="14"/>
      <c r="BB16" s="14"/>
      <c r="BC16" s="179"/>
      <c r="BD16" s="16"/>
      <c r="BE16" s="31"/>
      <c r="BF16" s="13"/>
      <c r="BG16" s="212"/>
      <c r="BH16" s="212"/>
      <c r="BI16" s="15"/>
      <c r="BJ16" s="14"/>
      <c r="BK16" s="14"/>
      <c r="BL16" s="14"/>
      <c r="BM16" s="14"/>
      <c r="BN16" s="179"/>
      <c r="BO16" s="16"/>
    </row>
    <row r="17" spans="1:67" x14ac:dyDescent="0.3">
      <c r="B17" s="23"/>
      <c r="C17" s="24"/>
      <c r="D17" s="24"/>
      <c r="E17" s="25"/>
      <c r="F17" s="26"/>
      <c r="G17" s="27"/>
      <c r="H17" s="27"/>
      <c r="I17" s="28"/>
      <c r="J17" s="27"/>
      <c r="K17" s="27"/>
      <c r="L17" s="27"/>
      <c r="M17" s="31"/>
      <c r="N17" s="140"/>
      <c r="O17" s="213"/>
      <c r="P17" s="213"/>
      <c r="Q17" s="141"/>
      <c r="R17" s="14"/>
      <c r="S17" s="14"/>
      <c r="T17" s="14"/>
      <c r="U17" s="14"/>
      <c r="V17" s="30"/>
      <c r="W17" s="16"/>
      <c r="X17" s="31"/>
      <c r="Y17" s="140"/>
      <c r="Z17" s="213"/>
      <c r="AA17" s="213"/>
      <c r="AB17" s="141"/>
      <c r="AC17" s="14"/>
      <c r="AD17" s="14"/>
      <c r="AE17" s="14"/>
      <c r="AF17" s="14"/>
      <c r="AG17" s="178"/>
      <c r="AH17" s="16"/>
      <c r="AI17" s="31"/>
      <c r="AJ17" s="140"/>
      <c r="AK17" s="213"/>
      <c r="AL17" s="213"/>
      <c r="AM17" s="141"/>
      <c r="AN17" s="14"/>
      <c r="AO17" s="14"/>
      <c r="AP17" s="14"/>
      <c r="AQ17" s="14"/>
      <c r="AR17" s="178"/>
      <c r="AS17" s="16"/>
      <c r="AT17" s="31"/>
      <c r="AU17" s="140"/>
      <c r="AV17" s="213"/>
      <c r="AW17" s="213"/>
      <c r="AX17" s="141"/>
      <c r="AY17" s="14"/>
      <c r="AZ17" s="14"/>
      <c r="BA17" s="14"/>
      <c r="BB17" s="14"/>
      <c r="BC17" s="178"/>
      <c r="BD17" s="16"/>
      <c r="BE17" s="31"/>
      <c r="BF17" s="140"/>
      <c r="BG17" s="213"/>
      <c r="BH17" s="213"/>
      <c r="BI17" s="141"/>
      <c r="BJ17" s="14"/>
      <c r="BK17" s="14"/>
      <c r="BL17" s="14"/>
      <c r="BM17" s="14"/>
      <c r="BN17" s="178"/>
      <c r="BO17" s="16"/>
    </row>
    <row r="18" spans="1:67" ht="14.55" hidden="1" customHeight="1" x14ac:dyDescent="0.3">
      <c r="B18" s="23"/>
      <c r="C18" s="24"/>
      <c r="D18" s="24"/>
      <c r="E18" s="25"/>
      <c r="F18" s="26"/>
      <c r="G18" s="27"/>
      <c r="H18" s="27"/>
      <c r="I18" s="28"/>
      <c r="J18" s="27"/>
      <c r="K18" s="27"/>
      <c r="L18" s="27"/>
      <c r="M18" s="31"/>
      <c r="N18" s="13"/>
      <c r="O18" s="14"/>
      <c r="P18" s="14"/>
      <c r="Q18" s="15"/>
      <c r="R18" s="14"/>
      <c r="S18" s="14"/>
      <c r="T18" s="14"/>
      <c r="U18" s="14"/>
      <c r="V18" s="14"/>
      <c r="W18" s="16"/>
      <c r="X18" s="31"/>
      <c r="Y18" s="13"/>
      <c r="Z18" s="14"/>
      <c r="AA18" s="14"/>
      <c r="AB18" s="15"/>
      <c r="AC18" s="14"/>
      <c r="AD18" s="14"/>
      <c r="AE18" s="14"/>
      <c r="AF18" s="14"/>
      <c r="AG18" s="14"/>
      <c r="AH18" s="16"/>
      <c r="AI18" s="31"/>
      <c r="AJ18" s="13"/>
      <c r="AK18" s="14"/>
      <c r="AL18" s="14"/>
      <c r="AM18" s="15"/>
      <c r="AN18" s="14"/>
      <c r="AO18" s="14"/>
      <c r="AP18" s="14"/>
      <c r="AQ18" s="14"/>
      <c r="AR18" s="14"/>
      <c r="AS18" s="16"/>
      <c r="AT18" s="31"/>
      <c r="AU18" s="13"/>
      <c r="AV18" s="14"/>
      <c r="AW18" s="14"/>
      <c r="AX18" s="15"/>
      <c r="AY18" s="14"/>
      <c r="AZ18" s="14"/>
      <c r="BA18" s="14"/>
      <c r="BB18" s="14"/>
      <c r="BC18" s="14"/>
      <c r="BD18" s="16"/>
      <c r="BE18" s="31"/>
      <c r="BF18" s="13"/>
      <c r="BG18" s="14"/>
      <c r="BH18" s="14"/>
      <c r="BI18" s="15"/>
      <c r="BJ18" s="14"/>
      <c r="BK18" s="14"/>
      <c r="BL18" s="14"/>
      <c r="BM18" s="14"/>
      <c r="BN18" s="14"/>
      <c r="BO18" s="16"/>
    </row>
    <row r="19" spans="1:67" x14ac:dyDescent="0.3">
      <c r="B19" s="23"/>
      <c r="C19" s="24"/>
      <c r="D19" s="24"/>
      <c r="E19" s="25"/>
      <c r="F19" s="26"/>
      <c r="G19" s="27"/>
      <c r="H19" s="27"/>
      <c r="I19" s="28"/>
      <c r="J19" s="27"/>
      <c r="K19" s="27"/>
      <c r="L19" s="27"/>
      <c r="M19" s="31"/>
      <c r="N19" s="13"/>
      <c r="O19" s="14"/>
      <c r="P19" s="14"/>
      <c r="Q19" s="15"/>
      <c r="R19" s="14"/>
      <c r="S19" s="14"/>
      <c r="T19" s="14"/>
      <c r="U19" s="14"/>
      <c r="V19" s="14"/>
      <c r="W19" s="16"/>
      <c r="X19" s="31"/>
      <c r="Y19" s="13"/>
      <c r="Z19" s="14"/>
      <c r="AA19" s="14"/>
      <c r="AB19" s="15"/>
      <c r="AC19" s="14"/>
      <c r="AD19" s="14"/>
      <c r="AE19" s="14"/>
      <c r="AF19" s="14"/>
      <c r="AG19" s="14"/>
      <c r="AH19" s="16"/>
      <c r="AI19" s="31"/>
      <c r="AJ19" s="13"/>
      <c r="AK19" s="14"/>
      <c r="AL19" s="14"/>
      <c r="AM19" s="15"/>
      <c r="AN19" s="14"/>
      <c r="AO19" s="14"/>
      <c r="AP19" s="14"/>
      <c r="AQ19" s="14"/>
      <c r="AR19" s="14"/>
      <c r="AS19" s="16"/>
      <c r="AT19" s="31"/>
      <c r="AU19" s="13"/>
      <c r="AV19" s="14"/>
      <c r="AW19" s="14"/>
      <c r="AX19" s="15"/>
      <c r="AY19" s="14"/>
      <c r="AZ19" s="14"/>
      <c r="BA19" s="14"/>
      <c r="BB19" s="14"/>
      <c r="BC19" s="14"/>
      <c r="BD19" s="16"/>
      <c r="BE19" s="31"/>
      <c r="BF19" s="13"/>
      <c r="BG19" s="14"/>
      <c r="BH19" s="14"/>
      <c r="BI19" s="15"/>
      <c r="BJ19" s="14"/>
      <c r="BK19" s="14"/>
      <c r="BL19" s="14"/>
      <c r="BM19" s="14"/>
      <c r="BN19" s="14"/>
      <c r="BO19" s="16"/>
    </row>
    <row r="20" spans="1:67" ht="14.55" customHeight="1" x14ac:dyDescent="0.3">
      <c r="B20" s="23"/>
      <c r="C20" s="24"/>
      <c r="D20" s="24"/>
      <c r="E20" s="25"/>
      <c r="F20" s="26"/>
      <c r="G20" s="217" t="s">
        <v>71</v>
      </c>
      <c r="H20" s="218"/>
      <c r="I20" s="28"/>
      <c r="J20" s="219" t="s">
        <v>44</v>
      </c>
      <c r="K20" s="219"/>
      <c r="L20" s="27"/>
      <c r="M20" s="29"/>
      <c r="N20" s="13"/>
      <c r="O20" s="203" t="s">
        <v>71</v>
      </c>
      <c r="P20" s="204"/>
      <c r="Q20" s="15"/>
      <c r="R20" s="203" t="s">
        <v>44</v>
      </c>
      <c r="S20" s="204"/>
      <c r="T20" s="14"/>
      <c r="U20" s="146" t="s">
        <v>148</v>
      </c>
      <c r="V20" s="185" t="s">
        <v>42</v>
      </c>
      <c r="W20" s="162">
        <v>0</v>
      </c>
      <c r="X20" s="29"/>
      <c r="Y20" s="13"/>
      <c r="Z20" s="203" t="s">
        <v>71</v>
      </c>
      <c r="AA20" s="204"/>
      <c r="AB20" s="15"/>
      <c r="AC20" s="203" t="s">
        <v>44</v>
      </c>
      <c r="AD20" s="204"/>
      <c r="AE20" s="14"/>
      <c r="AF20" s="146" t="s">
        <v>148</v>
      </c>
      <c r="AG20" s="185" t="s">
        <v>42</v>
      </c>
      <c r="AH20" s="162">
        <v>0</v>
      </c>
      <c r="AI20" s="29"/>
      <c r="AJ20" s="13"/>
      <c r="AK20" s="203" t="s">
        <v>71</v>
      </c>
      <c r="AL20" s="204"/>
      <c r="AM20" s="15"/>
      <c r="AN20" s="203" t="s">
        <v>44</v>
      </c>
      <c r="AO20" s="204"/>
      <c r="AP20" s="14"/>
      <c r="AQ20" s="146" t="s">
        <v>148</v>
      </c>
      <c r="AR20" s="185" t="s">
        <v>42</v>
      </c>
      <c r="AS20" s="162">
        <v>0</v>
      </c>
      <c r="AT20" s="29"/>
      <c r="AU20" s="13"/>
      <c r="AV20" s="203" t="s">
        <v>71</v>
      </c>
      <c r="AW20" s="204"/>
      <c r="AX20" s="15"/>
      <c r="AY20" s="203" t="s">
        <v>44</v>
      </c>
      <c r="AZ20" s="204"/>
      <c r="BA20" s="14"/>
      <c r="BB20" s="146" t="s">
        <v>148</v>
      </c>
      <c r="BC20" s="185" t="s">
        <v>42</v>
      </c>
      <c r="BD20" s="162">
        <v>0</v>
      </c>
      <c r="BE20" s="29"/>
      <c r="BF20" s="13"/>
      <c r="BG20" s="203" t="s">
        <v>71</v>
      </c>
      <c r="BH20" s="204"/>
      <c r="BI20" s="15"/>
      <c r="BJ20" s="203" t="s">
        <v>44</v>
      </c>
      <c r="BK20" s="204"/>
      <c r="BL20" s="14"/>
      <c r="BM20" s="146" t="s">
        <v>148</v>
      </c>
      <c r="BN20" s="185" t="s">
        <v>42</v>
      </c>
      <c r="BO20" s="162">
        <v>0</v>
      </c>
    </row>
    <row r="21" spans="1:67" x14ac:dyDescent="0.3">
      <c r="A21" s="109" t="str">
        <f>F9</f>
        <v>Uruguay</v>
      </c>
      <c r="B21" s="163" t="str">
        <f>F29</f>
        <v>Match #49 Winner</v>
      </c>
      <c r="C21" s="24">
        <v>49</v>
      </c>
      <c r="D21" s="24" t="s">
        <v>35</v>
      </c>
      <c r="E21" s="25">
        <v>43281</v>
      </c>
      <c r="F21" s="26" t="str">
        <f>F9</f>
        <v>Uruguay</v>
      </c>
      <c r="G21" s="74"/>
      <c r="H21" s="74"/>
      <c r="I21" s="28" t="str">
        <f>I10</f>
        <v>Portugal</v>
      </c>
      <c r="J21" s="80"/>
      <c r="K21" s="80"/>
      <c r="L21" s="27"/>
      <c r="M21" s="29" t="str">
        <f>N29</f>
        <v>Match 49 Winner</v>
      </c>
      <c r="N21" s="35" t="str">
        <f>$F21</f>
        <v>Uruguay</v>
      </c>
      <c r="O21" s="81"/>
      <c r="P21" s="81"/>
      <c r="Q21" s="36" t="str">
        <f>$I21</f>
        <v>Portugal</v>
      </c>
      <c r="R21" s="85"/>
      <c r="S21" s="85"/>
      <c r="T21" s="14"/>
      <c r="U21" s="32">
        <f t="shared" ref="U21" si="18">IF(KOMatchRule=1,IFERROR(IF(AND($G21&lt;&gt;"",$H21&lt;&gt;"",O21&lt;&gt;"",P21&lt;&gt;""),IF(AND($G21=O21,$H21=P21),Round1,IF(($G21-$H21)=(O21-P21),Round2,IF(AND(($G21&gt;$H21),(O21&gt;P21)),Round3,IF(AND(($H21&gt;$G21),(P21&gt;O21)),Round3,0)))),0),0)+IFERROR(IF(KOPSO=1,IF(AND($J21&lt;&gt;"",$K21&lt;&gt;"",R21&lt;&gt;"",S21&lt;&gt;"",($G21-$H21)=(O21-P21)),IF(AND($J21=R21,$K21=S21),Pena1,IF(($J21-$K21)=(R21-S21),Pena2,IF(AND(($J21&gt;$K21),(R21&gt;S21)),Pena3,IF(AND(($J21&lt;$K21),(S21&gt;R21)),Pena3,0)))),0),0),0),IFERROR(IF(AND($F21=N21,$I21=Q21,$G21&lt;&gt;"",$H21&lt;&gt;"",O21&lt;&gt;"",P21&lt;&gt;""),IF(AND($G21=O21,$H21=P21),Round1,IF(($G21-$H21)=(O21-P21),Round2,IF(AND(($G21&gt;$H21),(O21&gt;P21)),Round3,IF(AND(($H21&gt;$G21),(P21&gt;O21)),Round3,0)))),0),0)+IFERROR(IF(KOPSO=1,IF(AND($F21=N21,$I21=Q21,$J21&lt;&gt;"",$K21&lt;&gt;"",R21&lt;&gt;"",S21&lt;&gt;"",($G21-$H21)=(O21-P21)),IF(AND($J21=R21,$K21=S21),Pena1,IF(($J21-$K21)=(R21-S21),Pena2,IF(AND(($J21&gt;$K21),(R21&gt;S21)),Pena3,IF(AND(($J21&lt;$K21),(S21&gt;R21)),Pena3,0)))),0),0),0))</f>
        <v>0</v>
      </c>
      <c r="V21" s="184"/>
      <c r="W21" s="162">
        <f t="shared" ref="W21:W28" si="19">IF(U21=Round1,W20+1,0)</f>
        <v>0</v>
      </c>
      <c r="X21" s="29" t="str">
        <f>Y29</f>
        <v>Match 49 Winner</v>
      </c>
      <c r="Y21" s="35" t="str">
        <f>$F21</f>
        <v>Uruguay</v>
      </c>
      <c r="Z21" s="81"/>
      <c r="AA21" s="81"/>
      <c r="AB21" s="36" t="str">
        <f>$I21</f>
        <v>Portugal</v>
      </c>
      <c r="AC21" s="85"/>
      <c r="AD21" s="85"/>
      <c r="AE21" s="14"/>
      <c r="AF21" s="32">
        <f t="shared" ref="AF21" si="20">IF(KOMatchRule=1,IFERROR(IF(AND($G21&lt;&gt;"",$H21&lt;&gt;"",Z21&lt;&gt;"",AA21&lt;&gt;""),IF(AND($G21=Z21,$H21=AA21),Round1,IF(($G21-$H21)=(Z21-AA21),Round2,IF(AND(($G21&gt;$H21),(Z21&gt;AA21)),Round3,IF(AND(($H21&gt;$G21),(AA21&gt;Z21)),Round3,0)))),0),0)+IFERROR(IF(KOPSO=1,IF(AND($J21&lt;&gt;"",$K21&lt;&gt;"",AC21&lt;&gt;"",AD21&lt;&gt;"",($G21-$H21)=(Z21-AA21)),IF(AND($J21=AC21,$K21=AD21),Pena1,IF(($J21-$K21)=(AC21-AD21),Pena2,IF(AND(($J21&gt;$K21),(AC21&gt;AD21)),Pena3,IF(AND(($J21&lt;$K21),(AD21&gt;AC21)),Pena3,0)))),0),0),0),IFERROR(IF(AND($F21=Y21,$I21=AB21,$G21&lt;&gt;"",$H21&lt;&gt;"",Z21&lt;&gt;"",AA21&lt;&gt;""),IF(AND($G21=Z21,$H21=AA21),Round1,IF(($G21-$H21)=(Z21-AA21),Round2,IF(AND(($G21&gt;$H21),(Z21&gt;AA21)),Round3,IF(AND(($H21&gt;$G21),(AA21&gt;Z21)),Round3,0)))),0),0)+IFERROR(IF(KOPSO=1,IF(AND($F21=Y21,$I21=AB21,$J21&lt;&gt;"",$K21&lt;&gt;"",AC21&lt;&gt;"",AD21&lt;&gt;"",($G21-$H21)=(Z21-AA21)),IF(AND($J21=AC21,$K21=AD21),Pena1,IF(($J21-$K21)=(AC21-AD21),Pena2,IF(AND(($J21&gt;$K21),(AC21&gt;AD21)),Pena3,IF(AND(($J21&lt;$K21),(AD21&gt;AC21)),Pena3,0)))),0),0),0))</f>
        <v>0</v>
      </c>
      <c r="AG21" s="184"/>
      <c r="AH21" s="162">
        <f t="shared" ref="AH21:AH28" si="21">IF(AF21=Round1,AH20+1,0)</f>
        <v>0</v>
      </c>
      <c r="AI21" s="29" t="str">
        <f t="shared" ref="AI21:AI24" si="22">AJ29</f>
        <v>Match 49 Winner</v>
      </c>
      <c r="AJ21" s="35" t="str">
        <f t="shared" ref="AJ21:BF28" si="23">$F21</f>
        <v>Uruguay</v>
      </c>
      <c r="AK21" s="81"/>
      <c r="AL21" s="81"/>
      <c r="AM21" s="36" t="str">
        <f t="shared" ref="AM21:BI28" si="24">$I21</f>
        <v>Portugal</v>
      </c>
      <c r="AN21" s="85"/>
      <c r="AO21" s="85"/>
      <c r="AP21" s="14"/>
      <c r="AQ21" s="32">
        <f t="shared" ref="AQ21" si="25">IF(KOMatchRule=1,IFERROR(IF(AND($G21&lt;&gt;"",$H21&lt;&gt;"",AK21&lt;&gt;"",AL21&lt;&gt;""),IF(AND($G21=AK21,$H21=AL21),Round1,IF(($G21-$H21)=(AK21-AL21),Round2,IF(AND(($G21&gt;$H21),(AK21&gt;AL21)),Round3,IF(AND(($H21&gt;$G21),(AL21&gt;AK21)),Round3,0)))),0),0)+IFERROR(IF(KOPSO=1,IF(AND($J21&lt;&gt;"",$K21&lt;&gt;"",AN21&lt;&gt;"",AO21&lt;&gt;"",($G21-$H21)=(AK21-AL21)),IF(AND($J21=AN21,$K21=AO21),Pena1,IF(($J21-$K21)=(AN21-AO21),Pena2,IF(AND(($J21&gt;$K21),(AN21&gt;AO21)),Pena3,IF(AND(($J21&lt;$K21),(AO21&gt;AN21)),Pena3,0)))),0),0),0),IFERROR(IF(AND($F21=AJ21,$I21=AM21,$G21&lt;&gt;"",$H21&lt;&gt;"",AK21&lt;&gt;"",AL21&lt;&gt;""),IF(AND($G21=AK21,$H21=AL21),Round1,IF(($G21-$H21)=(AK21-AL21),Round2,IF(AND(($G21&gt;$H21),(AK21&gt;AL21)),Round3,IF(AND(($H21&gt;$G21),(AL21&gt;AK21)),Round3,0)))),0),0)+IFERROR(IF(KOPSO=1,IF(AND($F21=AJ21,$I21=AM21,$J21&lt;&gt;"",$K21&lt;&gt;"",AN21&lt;&gt;"",AO21&lt;&gt;"",($G21-$H21)=(AK21-AL21)),IF(AND($J21=AN21,$K21=AO21),Pena1,IF(($J21-$K21)=(AN21-AO21),Pena2,IF(AND(($J21&gt;$K21),(AN21&gt;AO21)),Pena3,IF(AND(($J21&lt;$K21),(AO21&gt;AN21)),Pena3,0)))),0),0),0))</f>
        <v>0</v>
      </c>
      <c r="AR21" s="184"/>
      <c r="AS21" s="162">
        <f t="shared" ref="AS21:AS28" si="26">IF(AQ21=Round1,AS20+1,0)</f>
        <v>0</v>
      </c>
      <c r="AT21" s="29" t="str">
        <f t="shared" ref="AT21:AT24" si="27">AU29</f>
        <v>Match 49 Winner</v>
      </c>
      <c r="AU21" s="35" t="str">
        <f t="shared" ref="AU21" si="28">$F21</f>
        <v>Uruguay</v>
      </c>
      <c r="AV21" s="81"/>
      <c r="AW21" s="81"/>
      <c r="AX21" s="36" t="str">
        <f t="shared" ref="AX21" si="29">$I21</f>
        <v>Portugal</v>
      </c>
      <c r="AY21" s="85"/>
      <c r="AZ21" s="85"/>
      <c r="BA21" s="14"/>
      <c r="BB21" s="32">
        <f t="shared" ref="BB21" si="30">IF(KOMatchRule=1,IFERROR(IF(AND($G21&lt;&gt;"",$H21&lt;&gt;"",AV21&lt;&gt;"",AW21&lt;&gt;""),IF(AND($G21=AV21,$H21=AW21),Round1,IF(($G21-$H21)=(AV21-AW21),Round2,IF(AND(($G21&gt;$H21),(AV21&gt;AW21)),Round3,IF(AND(($H21&gt;$G21),(AW21&gt;AV21)),Round3,0)))),0),0)+IFERROR(IF(KOPSO=1,IF(AND($J21&lt;&gt;"",$K21&lt;&gt;"",AY21&lt;&gt;"",AZ21&lt;&gt;"",($G21-$H21)=(AV21-AW21)),IF(AND($J21=AY21,$K21=AZ21),Pena1,IF(($J21-$K21)=(AY21-AZ21),Pena2,IF(AND(($J21&gt;$K21),(AY21&gt;AZ21)),Pena3,IF(AND(($J21&lt;$K21),(AZ21&gt;AY21)),Pena3,0)))),0),0),0),IFERROR(IF(AND($F21=AU21,$I21=AX21,$G21&lt;&gt;"",$H21&lt;&gt;"",AV21&lt;&gt;"",AW21&lt;&gt;""),IF(AND($G21=AV21,$H21=AW21),Round1,IF(($G21-$H21)=(AV21-AW21),Round2,IF(AND(($G21&gt;$H21),(AV21&gt;AW21)),Round3,IF(AND(($H21&gt;$G21),(AW21&gt;AV21)),Round3,0)))),0),0)+IFERROR(IF(KOPSO=1,IF(AND($F21=AU21,$I21=AX21,$J21&lt;&gt;"",$K21&lt;&gt;"",AY21&lt;&gt;"",AZ21&lt;&gt;"",($G21-$H21)=(AV21-AW21)),IF(AND($J21=AY21,$K21=AZ21),Pena1,IF(($J21-$K21)=(AY21-AZ21),Pena2,IF(AND(($J21&gt;$K21),(AY21&gt;AZ21)),Pena3,IF(AND(($J21&lt;$K21),(AZ21&gt;AY21)),Pena3,0)))),0),0),0))</f>
        <v>0</v>
      </c>
      <c r="BC21" s="184"/>
      <c r="BD21" s="162">
        <f t="shared" ref="BD21:BD28" si="31">IF(BB21=Round1,BD20+1,0)</f>
        <v>0</v>
      </c>
      <c r="BE21" s="29" t="str">
        <f t="shared" ref="BE21:BE24" si="32">BF29</f>
        <v>Match 49 Winner</v>
      </c>
      <c r="BF21" s="35" t="str">
        <f t="shared" ref="BF21" si="33">$F21</f>
        <v>Uruguay</v>
      </c>
      <c r="BG21" s="81"/>
      <c r="BH21" s="81"/>
      <c r="BI21" s="36" t="str">
        <f t="shared" ref="BI21" si="34">$I21</f>
        <v>Portugal</v>
      </c>
      <c r="BJ21" s="85"/>
      <c r="BK21" s="85"/>
      <c r="BL21" s="14"/>
      <c r="BM21" s="32">
        <f t="shared" ref="BM21" si="35">IF(KOMatchRule=1,IFERROR(IF(AND($G21&lt;&gt;"",$H21&lt;&gt;"",BG21&lt;&gt;"",BH21&lt;&gt;""),IF(AND($G21=BG21,$H21=BH21),Round1,IF(($G21-$H21)=(BG21-BH21),Round2,IF(AND(($G21&gt;$H21),(BG21&gt;BH21)),Round3,IF(AND(($H21&gt;$G21),(BH21&gt;BG21)),Round3,0)))),0),0)+IFERROR(IF(KOPSO=1,IF(AND($J21&lt;&gt;"",$K21&lt;&gt;"",BJ21&lt;&gt;"",BK21&lt;&gt;"",($G21-$H21)=(BG21-BH21)),IF(AND($J21=BJ21,$K21=BK21),Pena1,IF(($J21-$K21)=(BJ21-BK21),Pena2,IF(AND(($J21&gt;$K21),(BJ21&gt;BK21)),Pena3,IF(AND(($J21&lt;$K21),(BK21&gt;BJ21)),Pena3,0)))),0),0),0),IFERROR(IF(AND($F21=BF21,$I21=BI21,$G21&lt;&gt;"",$H21&lt;&gt;"",BG21&lt;&gt;"",BH21&lt;&gt;""),IF(AND($G21=BG21,$H21=BH21),Round1,IF(($G21-$H21)=(BG21-BH21),Round2,IF(AND(($G21&gt;$H21),(BG21&gt;BH21)),Round3,IF(AND(($H21&gt;$G21),(BH21&gt;BG21)),Round3,0)))),0),0)+IFERROR(IF(KOPSO=1,IF(AND($F21=BF21,$I21=BI21,$J21&lt;&gt;"",$K21&lt;&gt;"",BJ21&lt;&gt;"",BK21&lt;&gt;"",($G21-$H21)=(BG21-BH21)),IF(AND($J21=BJ21,$K21=BK21),Pena1,IF(($J21-$K21)=(BJ21-BK21),Pena2,IF(AND(($J21&gt;$K21),(BJ21&gt;BK21)),Pena3,IF(AND(($J21&lt;$K21),(BK21&gt;BJ21)),Pena3,0)))),0),0),0))</f>
        <v>0</v>
      </c>
      <c r="BN21" s="184"/>
      <c r="BO21" s="162">
        <f t="shared" ref="BO21:BO28" si="36">IF(BM21=Round1,BO20+1,0)</f>
        <v>0</v>
      </c>
    </row>
    <row r="22" spans="1:67" x14ac:dyDescent="0.3">
      <c r="A22" s="109" t="str">
        <f t="shared" ref="A22:A28" si="37">F10</f>
        <v>Spain</v>
      </c>
      <c r="B22" s="163" t="str">
        <f t="shared" ref="B22:B24" si="38">F30</f>
        <v>Match #53 Winner</v>
      </c>
      <c r="C22" s="24">
        <v>50</v>
      </c>
      <c r="D22" s="24" t="s">
        <v>35</v>
      </c>
      <c r="E22" s="25">
        <v>43281</v>
      </c>
      <c r="F22" s="26" t="str">
        <f>F11</f>
        <v>France</v>
      </c>
      <c r="G22" s="74"/>
      <c r="H22" s="74"/>
      <c r="I22" s="28" t="str">
        <f>I12</f>
        <v>Argentina</v>
      </c>
      <c r="J22" s="80"/>
      <c r="K22" s="80"/>
      <c r="L22" s="27"/>
      <c r="M22" s="29" t="str">
        <f t="shared" ref="M22:M24" si="39">N30</f>
        <v>Match 53 Winner</v>
      </c>
      <c r="N22" s="35" t="str">
        <f t="shared" ref="N22:N28" si="40">$F22</f>
        <v>France</v>
      </c>
      <c r="O22" s="74"/>
      <c r="P22" s="74"/>
      <c r="Q22" s="36" t="str">
        <f t="shared" ref="Q22:Q28" si="41">$I22</f>
        <v>Argentina</v>
      </c>
      <c r="R22" s="85"/>
      <c r="S22" s="85"/>
      <c r="T22" s="14"/>
      <c r="U22" s="32">
        <f t="shared" ref="U22:U28" si="42">IFERROR(IF(AND($F22=N22,$I22=Q22,$G22&lt;&gt;"",$H22&lt;&gt;"",O22&lt;&gt;"",P22&lt;&gt;""),IF(AND($G22=O22,$H22=P22),Round1,IF(($G22-$H22)=(O22-P22),Round2,IF(AND(($G22&gt;$H22),(O22&gt;P22)),Round3,IF(AND(($H22&gt;$G22),(P22&gt;O22)),Round3,0)))),0),0)+IFERROR(IF(KOPSO=1,IF(AND($F22=N22,$I22=Q22,$J22&lt;&gt;"",$K22&lt;&gt;"",R22&lt;&gt;"",S22&lt;&gt;"",($G22-$H22)=(O22-P22)),IF(AND($J22=R22,$K22=S22),Pena1,IF(($J22-$K22)=(R22-S22),Pena2,IF(AND(($J22&gt;$K22),(R22&gt;S22)),Pena3,IF(AND(($J22&lt;$K22),(S22&gt;R22)),Pena3,0)))),0),0),0)</f>
        <v>0</v>
      </c>
      <c r="V22" s="184"/>
      <c r="W22" s="162">
        <f t="shared" si="19"/>
        <v>0</v>
      </c>
      <c r="X22" s="29" t="str">
        <f t="shared" ref="X22:X24" si="43">Y30</f>
        <v>Match 53 Winner</v>
      </c>
      <c r="Y22" s="35" t="str">
        <f t="shared" ref="Y22:Y28" si="44">$F22</f>
        <v>France</v>
      </c>
      <c r="Z22" s="74"/>
      <c r="AA22" s="74"/>
      <c r="AB22" s="36" t="str">
        <f t="shared" ref="AB22:AB28" si="45">$I22</f>
        <v>Argentina</v>
      </c>
      <c r="AC22" s="85"/>
      <c r="AD22" s="85"/>
      <c r="AE22" s="14"/>
      <c r="AF22" s="32">
        <f t="shared" ref="AF22:AF28" si="46">IFERROR(IF(AND($F22=Y22,$I22=AB22,$G22&lt;&gt;"",$H22&lt;&gt;"",Z22&lt;&gt;"",AA22&lt;&gt;""),IF(AND($G22=Z22,$H22=AA22),Round1,IF(($G22-$H22)=(Z22-AA22),Round2,IF(AND(($G22&gt;$H22),(Z22&gt;AA22)),Round3,IF(AND(($H22&gt;$G22),(AA22&gt;Z22)),Round3,0)))),0),0)+IFERROR(IF(KOPSO=1,IF(AND($F22=Y22,$I22=AB22,$J22&lt;&gt;"",$K22&lt;&gt;"",AC22&lt;&gt;"",AD22&lt;&gt;"",($G22-$H22)=(Z22-AA22)),IF(AND($J22=AC22,$K22=AD22),Pena1,IF(($J22-$K22)=(AC22-AD22),Pena2,IF(AND(($J22&gt;$K22),(AC22&gt;AD22)),Pena3,IF(AND(($J22&lt;$K22),(AD22&gt;AC22)),Pena3,0)))),0),0),0)</f>
        <v>0</v>
      </c>
      <c r="AG22" s="184"/>
      <c r="AH22" s="162">
        <f t="shared" si="21"/>
        <v>0</v>
      </c>
      <c r="AI22" s="29" t="str">
        <f t="shared" si="22"/>
        <v>Match 53 Winner</v>
      </c>
      <c r="AJ22" s="35" t="str">
        <f t="shared" si="23"/>
        <v>France</v>
      </c>
      <c r="AK22" s="74"/>
      <c r="AL22" s="74"/>
      <c r="AM22" s="36" t="str">
        <f t="shared" si="24"/>
        <v>Argentina</v>
      </c>
      <c r="AN22" s="85"/>
      <c r="AO22" s="85"/>
      <c r="AP22" s="14"/>
      <c r="AQ22" s="32">
        <f t="shared" ref="AQ22:AQ28" si="47">IFERROR(IF(AND($F22=AJ22,$I22=AM22,$G22&lt;&gt;"",$H22&lt;&gt;"",AK22&lt;&gt;"",AL22&lt;&gt;""),IF(AND($G22=AK22,$H22=AL22),Round1,IF(($G22-$H22)=(AK22-AL22),Round2,IF(AND(($G22&gt;$H22),(AK22&gt;AL22)),Round3,IF(AND(($H22&gt;$G22),(AL22&gt;AK22)),Round3,0)))),0),0)+IFERROR(IF(KOPSO=1,IF(AND($F22=AJ22,$I22=AM22,$J22&lt;&gt;"",$K22&lt;&gt;"",AN22&lt;&gt;"",AO22&lt;&gt;"",($G22-$H22)=(AK22-AL22)),IF(AND($J22=AN22,$K22=AO22),Pena1,IF(($J22-$K22)=(AN22-AO22),Pena2,IF(AND(($J22&gt;$K22),(AN22&gt;AO22)),Pena3,IF(AND(($J22&lt;$K22),(AO22&gt;AN22)),Pena3,0)))),0),0),0)</f>
        <v>0</v>
      </c>
      <c r="AR22" s="184"/>
      <c r="AS22" s="162">
        <f t="shared" si="26"/>
        <v>0</v>
      </c>
      <c r="AT22" s="29" t="str">
        <f t="shared" si="27"/>
        <v>Match 53 Winner</v>
      </c>
      <c r="AU22" s="35" t="str">
        <f t="shared" si="23"/>
        <v>France</v>
      </c>
      <c r="AV22" s="74"/>
      <c r="AW22" s="74"/>
      <c r="AX22" s="36" t="str">
        <f t="shared" si="24"/>
        <v>Argentina</v>
      </c>
      <c r="AY22" s="85"/>
      <c r="AZ22" s="85"/>
      <c r="BA22" s="14"/>
      <c r="BB22" s="32">
        <f t="shared" ref="BB22:BB28" si="48">IFERROR(IF(AND($F22=AU22,$I22=AX22,$G22&lt;&gt;"",$H22&lt;&gt;"",AV22&lt;&gt;"",AW22&lt;&gt;""),IF(AND($G22=AV22,$H22=AW22),Round1,IF(($G22-$H22)=(AV22-AW22),Round2,IF(AND(($G22&gt;$H22),(AV22&gt;AW22)),Round3,IF(AND(($H22&gt;$G22),(AW22&gt;AV22)),Round3,0)))),0),0)+IFERROR(IF(KOPSO=1,IF(AND($F22=AU22,$I22=AX22,$J22&lt;&gt;"",$K22&lt;&gt;"",AY22&lt;&gt;"",AZ22&lt;&gt;"",($G22-$H22)=(AV22-AW22)),IF(AND($J22=AY22,$K22=AZ22),Pena1,IF(($J22-$K22)=(AY22-AZ22),Pena2,IF(AND(($J22&gt;$K22),(AY22&gt;AZ22)),Pena3,IF(AND(($J22&lt;$K22),(AZ22&gt;AY22)),Pena3,0)))),0),0),0)</f>
        <v>0</v>
      </c>
      <c r="BC22" s="184"/>
      <c r="BD22" s="162">
        <f t="shared" si="31"/>
        <v>0</v>
      </c>
      <c r="BE22" s="29" t="str">
        <f t="shared" si="32"/>
        <v>Match 53 Winner</v>
      </c>
      <c r="BF22" s="35" t="str">
        <f t="shared" si="23"/>
        <v>France</v>
      </c>
      <c r="BG22" s="74"/>
      <c r="BH22" s="74"/>
      <c r="BI22" s="36" t="str">
        <f t="shared" si="24"/>
        <v>Argentina</v>
      </c>
      <c r="BJ22" s="85"/>
      <c r="BK22" s="85"/>
      <c r="BL22" s="14"/>
      <c r="BM22" s="32">
        <f t="shared" ref="BM22:BM28" si="49">IFERROR(IF(AND($F22=BF22,$I22=BI22,$G22&lt;&gt;"",$H22&lt;&gt;"",BG22&lt;&gt;"",BH22&lt;&gt;""),IF(AND($G22=BG22,$H22=BH22),Round1,IF(($G22-$H22)=(BG22-BH22),Round2,IF(AND(($G22&gt;$H22),(BG22&gt;BH22)),Round3,IF(AND(($H22&gt;$G22),(BH22&gt;BG22)),Round3,0)))),0),0)+IFERROR(IF(KOPSO=1,IF(AND($F22=BF22,$I22=BI22,$J22&lt;&gt;"",$K22&lt;&gt;"",BJ22&lt;&gt;"",BK22&lt;&gt;"",($G22-$H22)=(BG22-BH22)),IF(AND($J22=BJ22,$K22=BK22),Pena1,IF(($J22-$K22)=(BJ22-BK22),Pena2,IF(AND(($J22&gt;$K22),(BJ22&gt;BK22)),Pena3,IF(AND(($J22&lt;$K22),(BK22&gt;BJ22)),Pena3,0)))),0),0),0)</f>
        <v>0</v>
      </c>
      <c r="BN22" s="184"/>
      <c r="BO22" s="162">
        <f t="shared" si="36"/>
        <v>0</v>
      </c>
    </row>
    <row r="23" spans="1:67" x14ac:dyDescent="0.3">
      <c r="A23" s="109" t="str">
        <f t="shared" si="37"/>
        <v>France</v>
      </c>
      <c r="B23" s="163" t="str">
        <f t="shared" si="38"/>
        <v>Match #51 Winner</v>
      </c>
      <c r="C23" s="24">
        <v>51</v>
      </c>
      <c r="D23" s="24" t="s">
        <v>35</v>
      </c>
      <c r="E23" s="25">
        <v>43282</v>
      </c>
      <c r="F23" s="26" t="str">
        <f>F10</f>
        <v>Spain</v>
      </c>
      <c r="G23" s="74"/>
      <c r="H23" s="74"/>
      <c r="I23" s="28" t="str">
        <f>I9</f>
        <v>Russia</v>
      </c>
      <c r="J23" s="80"/>
      <c r="K23" s="80"/>
      <c r="L23" s="27"/>
      <c r="M23" s="29" t="str">
        <f t="shared" si="39"/>
        <v>Match 51 Winner</v>
      </c>
      <c r="N23" s="35" t="str">
        <f t="shared" si="40"/>
        <v>Spain</v>
      </c>
      <c r="O23" s="74"/>
      <c r="P23" s="74"/>
      <c r="Q23" s="36" t="str">
        <f t="shared" si="41"/>
        <v>Russia</v>
      </c>
      <c r="R23" s="85"/>
      <c r="S23" s="85"/>
      <c r="T23" s="14"/>
      <c r="U23" s="32">
        <f t="shared" si="42"/>
        <v>0</v>
      </c>
      <c r="V23" s="184"/>
      <c r="W23" s="162">
        <f t="shared" si="19"/>
        <v>0</v>
      </c>
      <c r="X23" s="29" t="str">
        <f t="shared" si="43"/>
        <v>Match 51 Winner</v>
      </c>
      <c r="Y23" s="35" t="str">
        <f t="shared" si="44"/>
        <v>Spain</v>
      </c>
      <c r="Z23" s="74"/>
      <c r="AA23" s="74"/>
      <c r="AB23" s="36" t="str">
        <f t="shared" si="45"/>
        <v>Russia</v>
      </c>
      <c r="AC23" s="85"/>
      <c r="AD23" s="85"/>
      <c r="AE23" s="14"/>
      <c r="AF23" s="32">
        <f t="shared" si="46"/>
        <v>0</v>
      </c>
      <c r="AG23" s="184"/>
      <c r="AH23" s="162">
        <f t="shared" si="21"/>
        <v>0</v>
      </c>
      <c r="AI23" s="29" t="str">
        <f t="shared" si="22"/>
        <v>Match 51 Winner</v>
      </c>
      <c r="AJ23" s="35" t="str">
        <f t="shared" si="23"/>
        <v>Spain</v>
      </c>
      <c r="AK23" s="74"/>
      <c r="AL23" s="74"/>
      <c r="AM23" s="36" t="str">
        <f t="shared" si="24"/>
        <v>Russia</v>
      </c>
      <c r="AN23" s="85"/>
      <c r="AO23" s="85"/>
      <c r="AP23" s="14"/>
      <c r="AQ23" s="32">
        <f t="shared" si="47"/>
        <v>0</v>
      </c>
      <c r="AR23" s="184"/>
      <c r="AS23" s="162">
        <f t="shared" si="26"/>
        <v>0</v>
      </c>
      <c r="AT23" s="29" t="str">
        <f t="shared" si="27"/>
        <v>Match 51 Winner</v>
      </c>
      <c r="AU23" s="35" t="str">
        <f t="shared" si="23"/>
        <v>Spain</v>
      </c>
      <c r="AV23" s="74"/>
      <c r="AW23" s="74"/>
      <c r="AX23" s="36" t="str">
        <f t="shared" si="24"/>
        <v>Russia</v>
      </c>
      <c r="AY23" s="85"/>
      <c r="AZ23" s="85"/>
      <c r="BA23" s="14"/>
      <c r="BB23" s="32">
        <f t="shared" si="48"/>
        <v>0</v>
      </c>
      <c r="BC23" s="184"/>
      <c r="BD23" s="162">
        <f t="shared" si="31"/>
        <v>0</v>
      </c>
      <c r="BE23" s="29" t="str">
        <f t="shared" si="32"/>
        <v>Match 51 Winner</v>
      </c>
      <c r="BF23" s="35" t="str">
        <f t="shared" si="23"/>
        <v>Spain</v>
      </c>
      <c r="BG23" s="74"/>
      <c r="BH23" s="74"/>
      <c r="BI23" s="36" t="str">
        <f t="shared" si="24"/>
        <v>Russia</v>
      </c>
      <c r="BJ23" s="85"/>
      <c r="BK23" s="85"/>
      <c r="BL23" s="14"/>
      <c r="BM23" s="32">
        <f t="shared" si="49"/>
        <v>0</v>
      </c>
      <c r="BN23" s="184"/>
      <c r="BO23" s="162">
        <f t="shared" si="36"/>
        <v>0</v>
      </c>
    </row>
    <row r="24" spans="1:67" x14ac:dyDescent="0.3">
      <c r="A24" s="109" t="str">
        <f t="shared" si="37"/>
        <v>Croatia</v>
      </c>
      <c r="B24" s="163" t="str">
        <f t="shared" si="38"/>
        <v>Match #55 Winner</v>
      </c>
      <c r="C24" s="24">
        <v>52</v>
      </c>
      <c r="D24" s="24" t="s">
        <v>35</v>
      </c>
      <c r="E24" s="25">
        <v>43282</v>
      </c>
      <c r="F24" s="26" t="str">
        <f>F12</f>
        <v>Croatia</v>
      </c>
      <c r="G24" s="74"/>
      <c r="H24" s="74"/>
      <c r="I24" s="28" t="str">
        <f>I11</f>
        <v>Denmark</v>
      </c>
      <c r="J24" s="80"/>
      <c r="K24" s="80"/>
      <c r="L24" s="27"/>
      <c r="M24" s="29" t="str">
        <f t="shared" si="39"/>
        <v>Match 55 Winner</v>
      </c>
      <c r="N24" s="35" t="str">
        <f t="shared" si="40"/>
        <v>Croatia</v>
      </c>
      <c r="O24" s="74"/>
      <c r="P24" s="74"/>
      <c r="Q24" s="36" t="str">
        <f t="shared" si="41"/>
        <v>Denmark</v>
      </c>
      <c r="R24" s="85"/>
      <c r="S24" s="85"/>
      <c r="T24" s="14"/>
      <c r="U24" s="32">
        <f t="shared" si="42"/>
        <v>0</v>
      </c>
      <c r="V24" s="184"/>
      <c r="W24" s="162">
        <f t="shared" si="19"/>
        <v>0</v>
      </c>
      <c r="X24" s="29" t="str">
        <f t="shared" si="43"/>
        <v>Match 55 Winner</v>
      </c>
      <c r="Y24" s="35" t="str">
        <f t="shared" si="44"/>
        <v>Croatia</v>
      </c>
      <c r="Z24" s="74"/>
      <c r="AA24" s="74"/>
      <c r="AB24" s="36" t="str">
        <f t="shared" si="45"/>
        <v>Denmark</v>
      </c>
      <c r="AC24" s="85"/>
      <c r="AD24" s="85"/>
      <c r="AE24" s="14"/>
      <c r="AF24" s="32">
        <f t="shared" si="46"/>
        <v>0</v>
      </c>
      <c r="AG24" s="184"/>
      <c r="AH24" s="162">
        <f t="shared" si="21"/>
        <v>0</v>
      </c>
      <c r="AI24" s="29" t="str">
        <f t="shared" si="22"/>
        <v>Match 55 Winner</v>
      </c>
      <c r="AJ24" s="35" t="str">
        <f t="shared" si="23"/>
        <v>Croatia</v>
      </c>
      <c r="AK24" s="74"/>
      <c r="AL24" s="74"/>
      <c r="AM24" s="36" t="str">
        <f t="shared" si="24"/>
        <v>Denmark</v>
      </c>
      <c r="AN24" s="85"/>
      <c r="AO24" s="85"/>
      <c r="AP24" s="14"/>
      <c r="AQ24" s="32">
        <f t="shared" si="47"/>
        <v>0</v>
      </c>
      <c r="AR24" s="184"/>
      <c r="AS24" s="162">
        <f t="shared" si="26"/>
        <v>0</v>
      </c>
      <c r="AT24" s="29" t="str">
        <f t="shared" si="27"/>
        <v>Match 55 Winner</v>
      </c>
      <c r="AU24" s="35" t="str">
        <f t="shared" si="23"/>
        <v>Croatia</v>
      </c>
      <c r="AV24" s="74"/>
      <c r="AW24" s="74"/>
      <c r="AX24" s="36" t="str">
        <f t="shared" si="24"/>
        <v>Denmark</v>
      </c>
      <c r="AY24" s="85"/>
      <c r="AZ24" s="85"/>
      <c r="BA24" s="14"/>
      <c r="BB24" s="32">
        <f t="shared" si="48"/>
        <v>0</v>
      </c>
      <c r="BC24" s="184"/>
      <c r="BD24" s="162">
        <f t="shared" si="31"/>
        <v>0</v>
      </c>
      <c r="BE24" s="29" t="str">
        <f t="shared" si="32"/>
        <v>Match 55 Winner</v>
      </c>
      <c r="BF24" s="35" t="str">
        <f t="shared" si="23"/>
        <v>Croatia</v>
      </c>
      <c r="BG24" s="74"/>
      <c r="BH24" s="74"/>
      <c r="BI24" s="36" t="str">
        <f t="shared" si="24"/>
        <v>Denmark</v>
      </c>
      <c r="BJ24" s="85"/>
      <c r="BK24" s="85"/>
      <c r="BL24" s="14"/>
      <c r="BM24" s="32">
        <f t="shared" si="49"/>
        <v>0</v>
      </c>
      <c r="BN24" s="184"/>
      <c r="BO24" s="162">
        <f t="shared" si="36"/>
        <v>0</v>
      </c>
    </row>
    <row r="25" spans="1:67" x14ac:dyDescent="0.3">
      <c r="A25" s="109" t="str">
        <f t="shared" si="37"/>
        <v>Sweden</v>
      </c>
      <c r="B25" s="163" t="str">
        <f>I29</f>
        <v>Match #50 Winner</v>
      </c>
      <c r="C25" s="24">
        <v>53</v>
      </c>
      <c r="D25" s="24" t="s">
        <v>35</v>
      </c>
      <c r="E25" s="25">
        <v>43283</v>
      </c>
      <c r="F25" s="26" t="str">
        <f>F13</f>
        <v>Sweden</v>
      </c>
      <c r="G25" s="74"/>
      <c r="H25" s="74"/>
      <c r="I25" s="28" t="str">
        <f>I14</f>
        <v>F Runner Up</v>
      </c>
      <c r="J25" s="80"/>
      <c r="K25" s="80"/>
      <c r="L25" s="27"/>
      <c r="M25" s="29" t="str">
        <f>Q29</f>
        <v>Match 50 Winner</v>
      </c>
      <c r="N25" s="35" t="str">
        <f t="shared" si="40"/>
        <v>Sweden</v>
      </c>
      <c r="O25" s="74"/>
      <c r="P25" s="74"/>
      <c r="Q25" s="36" t="str">
        <f t="shared" si="41"/>
        <v>F Runner Up</v>
      </c>
      <c r="R25" s="85"/>
      <c r="S25" s="85"/>
      <c r="T25" s="14"/>
      <c r="U25" s="32">
        <f t="shared" si="42"/>
        <v>0</v>
      </c>
      <c r="V25" s="184"/>
      <c r="W25" s="162">
        <f t="shared" si="19"/>
        <v>0</v>
      </c>
      <c r="X25" s="29" t="str">
        <f>AB29</f>
        <v>Match 50 Winner</v>
      </c>
      <c r="Y25" s="35" t="str">
        <f t="shared" si="44"/>
        <v>Sweden</v>
      </c>
      <c r="Z25" s="74"/>
      <c r="AA25" s="74"/>
      <c r="AB25" s="36" t="str">
        <f t="shared" si="45"/>
        <v>F Runner Up</v>
      </c>
      <c r="AC25" s="85"/>
      <c r="AD25" s="85"/>
      <c r="AE25" s="14"/>
      <c r="AF25" s="32">
        <f t="shared" si="46"/>
        <v>0</v>
      </c>
      <c r="AG25" s="184"/>
      <c r="AH25" s="162">
        <f t="shared" si="21"/>
        <v>0</v>
      </c>
      <c r="AI25" s="29" t="str">
        <f t="shared" ref="AI25:AI28" si="50">AM29</f>
        <v>Match 50 Winner</v>
      </c>
      <c r="AJ25" s="35" t="str">
        <f t="shared" si="23"/>
        <v>Sweden</v>
      </c>
      <c r="AK25" s="74"/>
      <c r="AL25" s="74"/>
      <c r="AM25" s="36" t="str">
        <f t="shared" si="24"/>
        <v>F Runner Up</v>
      </c>
      <c r="AN25" s="85"/>
      <c r="AO25" s="85"/>
      <c r="AP25" s="14"/>
      <c r="AQ25" s="32">
        <f t="shared" si="47"/>
        <v>0</v>
      </c>
      <c r="AR25" s="184"/>
      <c r="AS25" s="162">
        <f t="shared" si="26"/>
        <v>0</v>
      </c>
      <c r="AT25" s="29" t="str">
        <f t="shared" ref="AT25:AT28" si="51">AX29</f>
        <v>Match 50 Winner</v>
      </c>
      <c r="AU25" s="35" t="str">
        <f t="shared" si="23"/>
        <v>Sweden</v>
      </c>
      <c r="AV25" s="74"/>
      <c r="AW25" s="74"/>
      <c r="AX25" s="36" t="str">
        <f t="shared" si="24"/>
        <v>F Runner Up</v>
      </c>
      <c r="AY25" s="85"/>
      <c r="AZ25" s="85"/>
      <c r="BA25" s="14"/>
      <c r="BB25" s="32">
        <f t="shared" si="48"/>
        <v>0</v>
      </c>
      <c r="BC25" s="184"/>
      <c r="BD25" s="162">
        <f t="shared" si="31"/>
        <v>0</v>
      </c>
      <c r="BE25" s="29" t="str">
        <f t="shared" ref="BE25:BE28" si="52">BI29</f>
        <v>Match 50 Winner</v>
      </c>
      <c r="BF25" s="35" t="str">
        <f t="shared" si="23"/>
        <v>Sweden</v>
      </c>
      <c r="BG25" s="74"/>
      <c r="BH25" s="74"/>
      <c r="BI25" s="36" t="str">
        <f t="shared" si="24"/>
        <v>F Runner Up</v>
      </c>
      <c r="BJ25" s="85"/>
      <c r="BK25" s="85"/>
      <c r="BL25" s="14"/>
      <c r="BM25" s="32">
        <f t="shared" si="49"/>
        <v>0</v>
      </c>
      <c r="BN25" s="184"/>
      <c r="BO25" s="162">
        <f t="shared" si="36"/>
        <v>0</v>
      </c>
    </row>
    <row r="26" spans="1:67" x14ac:dyDescent="0.3">
      <c r="A26" s="109" t="str">
        <f t="shared" si="37"/>
        <v>F Winner</v>
      </c>
      <c r="B26" s="163" t="str">
        <f t="shared" ref="B26:B28" si="53">I30</f>
        <v>Match #54 Winner</v>
      </c>
      <c r="C26" s="24">
        <v>54</v>
      </c>
      <c r="D26" s="24" t="s">
        <v>35</v>
      </c>
      <c r="E26" s="25">
        <v>43283</v>
      </c>
      <c r="F26" s="26" t="str">
        <f>F15</f>
        <v>G Winner</v>
      </c>
      <c r="G26" s="74"/>
      <c r="H26" s="74"/>
      <c r="I26" s="28" t="str">
        <f>I16</f>
        <v>H Runner Up</v>
      </c>
      <c r="J26" s="80"/>
      <c r="K26" s="80"/>
      <c r="L26" s="27"/>
      <c r="M26" s="29" t="str">
        <f t="shared" ref="M26:M28" si="54">Q30</f>
        <v>Match 54 Winner</v>
      </c>
      <c r="N26" s="35" t="str">
        <f t="shared" si="40"/>
        <v>G Winner</v>
      </c>
      <c r="O26" s="74"/>
      <c r="P26" s="74"/>
      <c r="Q26" s="36" t="str">
        <f t="shared" si="41"/>
        <v>H Runner Up</v>
      </c>
      <c r="R26" s="85"/>
      <c r="S26" s="85"/>
      <c r="T26" s="14"/>
      <c r="U26" s="32">
        <f t="shared" si="42"/>
        <v>0</v>
      </c>
      <c r="V26" s="184"/>
      <c r="W26" s="162">
        <f t="shared" si="19"/>
        <v>0</v>
      </c>
      <c r="X26" s="29" t="str">
        <f t="shared" ref="X26:X28" si="55">AB30</f>
        <v>Match 54 Winner</v>
      </c>
      <c r="Y26" s="35" t="str">
        <f t="shared" si="44"/>
        <v>G Winner</v>
      </c>
      <c r="Z26" s="74"/>
      <c r="AA26" s="74"/>
      <c r="AB26" s="36" t="str">
        <f t="shared" si="45"/>
        <v>H Runner Up</v>
      </c>
      <c r="AC26" s="85"/>
      <c r="AD26" s="85"/>
      <c r="AE26" s="14"/>
      <c r="AF26" s="32">
        <f t="shared" si="46"/>
        <v>0</v>
      </c>
      <c r="AG26" s="184"/>
      <c r="AH26" s="162">
        <f t="shared" si="21"/>
        <v>0</v>
      </c>
      <c r="AI26" s="29" t="str">
        <f t="shared" si="50"/>
        <v>Match 54 Winner</v>
      </c>
      <c r="AJ26" s="35" t="str">
        <f t="shared" si="23"/>
        <v>G Winner</v>
      </c>
      <c r="AK26" s="74"/>
      <c r="AL26" s="74"/>
      <c r="AM26" s="36" t="str">
        <f t="shared" si="24"/>
        <v>H Runner Up</v>
      </c>
      <c r="AN26" s="85"/>
      <c r="AO26" s="85"/>
      <c r="AP26" s="14"/>
      <c r="AQ26" s="32">
        <f t="shared" si="47"/>
        <v>0</v>
      </c>
      <c r="AR26" s="184"/>
      <c r="AS26" s="162">
        <f t="shared" si="26"/>
        <v>0</v>
      </c>
      <c r="AT26" s="29" t="str">
        <f t="shared" si="51"/>
        <v>Match 54 Winner</v>
      </c>
      <c r="AU26" s="35" t="str">
        <f t="shared" si="23"/>
        <v>G Winner</v>
      </c>
      <c r="AV26" s="74"/>
      <c r="AW26" s="74"/>
      <c r="AX26" s="36" t="str">
        <f t="shared" si="24"/>
        <v>H Runner Up</v>
      </c>
      <c r="AY26" s="85"/>
      <c r="AZ26" s="85"/>
      <c r="BA26" s="14"/>
      <c r="BB26" s="32">
        <f t="shared" si="48"/>
        <v>0</v>
      </c>
      <c r="BC26" s="184"/>
      <c r="BD26" s="162">
        <f t="shared" si="31"/>
        <v>0</v>
      </c>
      <c r="BE26" s="29" t="str">
        <f t="shared" si="52"/>
        <v>Match 54 Winner</v>
      </c>
      <c r="BF26" s="35" t="str">
        <f t="shared" si="23"/>
        <v>G Winner</v>
      </c>
      <c r="BG26" s="74"/>
      <c r="BH26" s="74"/>
      <c r="BI26" s="36" t="str">
        <f t="shared" si="24"/>
        <v>H Runner Up</v>
      </c>
      <c r="BJ26" s="85"/>
      <c r="BK26" s="85"/>
      <c r="BL26" s="14"/>
      <c r="BM26" s="32">
        <f t="shared" si="49"/>
        <v>0</v>
      </c>
      <c r="BN26" s="184"/>
      <c r="BO26" s="162">
        <f t="shared" si="36"/>
        <v>0</v>
      </c>
    </row>
    <row r="27" spans="1:67" x14ac:dyDescent="0.3">
      <c r="A27" s="109" t="str">
        <f t="shared" si="37"/>
        <v>G Winner</v>
      </c>
      <c r="B27" s="163" t="str">
        <f t="shared" si="53"/>
        <v>Match #52 Winner</v>
      </c>
      <c r="C27" s="24">
        <v>55</v>
      </c>
      <c r="D27" s="24" t="s">
        <v>35</v>
      </c>
      <c r="E27" s="25">
        <v>43284</v>
      </c>
      <c r="F27" s="26" t="str">
        <f>F14</f>
        <v>F Winner</v>
      </c>
      <c r="G27" s="74"/>
      <c r="H27" s="74"/>
      <c r="I27" s="28" t="str">
        <f>I13</f>
        <v>Mexico</v>
      </c>
      <c r="J27" s="80"/>
      <c r="K27" s="80"/>
      <c r="L27" s="164"/>
      <c r="M27" s="29" t="str">
        <f t="shared" si="54"/>
        <v>Match 52 Winner</v>
      </c>
      <c r="N27" s="35" t="str">
        <f t="shared" si="40"/>
        <v>F Winner</v>
      </c>
      <c r="O27" s="74"/>
      <c r="P27" s="74"/>
      <c r="Q27" s="36" t="str">
        <f t="shared" si="41"/>
        <v>Mexico</v>
      </c>
      <c r="R27" s="85"/>
      <c r="S27" s="85"/>
      <c r="T27" s="14"/>
      <c r="U27" s="32">
        <f t="shared" si="42"/>
        <v>0</v>
      </c>
      <c r="V27" s="184"/>
      <c r="W27" s="162">
        <f t="shared" si="19"/>
        <v>0</v>
      </c>
      <c r="X27" s="29" t="str">
        <f t="shared" si="55"/>
        <v>Match 52 Winner</v>
      </c>
      <c r="Y27" s="35" t="str">
        <f t="shared" si="44"/>
        <v>F Winner</v>
      </c>
      <c r="Z27" s="74"/>
      <c r="AA27" s="74"/>
      <c r="AB27" s="36" t="str">
        <f t="shared" si="45"/>
        <v>Mexico</v>
      </c>
      <c r="AC27" s="85"/>
      <c r="AD27" s="85"/>
      <c r="AE27" s="14"/>
      <c r="AF27" s="32">
        <f t="shared" si="46"/>
        <v>0</v>
      </c>
      <c r="AG27" s="184"/>
      <c r="AH27" s="162">
        <f t="shared" si="21"/>
        <v>0</v>
      </c>
      <c r="AI27" s="29" t="str">
        <f t="shared" si="50"/>
        <v>Match 52 Winner</v>
      </c>
      <c r="AJ27" s="35" t="str">
        <f t="shared" si="23"/>
        <v>F Winner</v>
      </c>
      <c r="AK27" s="74"/>
      <c r="AL27" s="74"/>
      <c r="AM27" s="36" t="str">
        <f t="shared" si="24"/>
        <v>Mexico</v>
      </c>
      <c r="AN27" s="85"/>
      <c r="AO27" s="85"/>
      <c r="AP27" s="14"/>
      <c r="AQ27" s="32">
        <f t="shared" si="47"/>
        <v>0</v>
      </c>
      <c r="AR27" s="184"/>
      <c r="AS27" s="162">
        <f t="shared" si="26"/>
        <v>0</v>
      </c>
      <c r="AT27" s="29" t="str">
        <f t="shared" si="51"/>
        <v>Match 52 Winner</v>
      </c>
      <c r="AU27" s="35" t="str">
        <f t="shared" si="23"/>
        <v>F Winner</v>
      </c>
      <c r="AV27" s="74"/>
      <c r="AW27" s="74"/>
      <c r="AX27" s="36" t="str">
        <f t="shared" si="24"/>
        <v>Mexico</v>
      </c>
      <c r="AY27" s="85"/>
      <c r="AZ27" s="85"/>
      <c r="BA27" s="14"/>
      <c r="BB27" s="32">
        <f t="shared" si="48"/>
        <v>0</v>
      </c>
      <c r="BC27" s="184"/>
      <c r="BD27" s="162">
        <f t="shared" si="31"/>
        <v>0</v>
      </c>
      <c r="BE27" s="29" t="str">
        <f t="shared" si="52"/>
        <v>Match 52 Winner</v>
      </c>
      <c r="BF27" s="35" t="str">
        <f t="shared" si="23"/>
        <v>F Winner</v>
      </c>
      <c r="BG27" s="74"/>
      <c r="BH27" s="74"/>
      <c r="BI27" s="36" t="str">
        <f t="shared" si="24"/>
        <v>Mexico</v>
      </c>
      <c r="BJ27" s="85"/>
      <c r="BK27" s="85"/>
      <c r="BL27" s="14"/>
      <c r="BM27" s="32">
        <f t="shared" si="49"/>
        <v>0</v>
      </c>
      <c r="BN27" s="184"/>
      <c r="BO27" s="162">
        <f t="shared" si="36"/>
        <v>0</v>
      </c>
    </row>
    <row r="28" spans="1:67" x14ac:dyDescent="0.3">
      <c r="A28" s="109" t="str">
        <f t="shared" si="37"/>
        <v>H Winner</v>
      </c>
      <c r="B28" s="163" t="str">
        <f t="shared" si="53"/>
        <v>Match #56 Winner</v>
      </c>
      <c r="C28" s="24">
        <v>56</v>
      </c>
      <c r="D28" s="24" t="s">
        <v>35</v>
      </c>
      <c r="E28" s="25">
        <v>43284</v>
      </c>
      <c r="F28" s="26" t="str">
        <f>F16</f>
        <v>H Winner</v>
      </c>
      <c r="G28" s="75"/>
      <c r="H28" s="75"/>
      <c r="I28" s="28" t="str">
        <f>I15</f>
        <v>G Runner Up</v>
      </c>
      <c r="J28" s="80"/>
      <c r="K28" s="80"/>
      <c r="L28" s="164">
        <f>IF(G28&lt;&gt;"",1,0)</f>
        <v>0</v>
      </c>
      <c r="M28" s="29" t="str">
        <f t="shared" si="54"/>
        <v>Match 56 Winner</v>
      </c>
      <c r="N28" s="35" t="str">
        <f t="shared" si="40"/>
        <v>H Winner</v>
      </c>
      <c r="O28" s="75"/>
      <c r="P28" s="75"/>
      <c r="Q28" s="36" t="str">
        <f t="shared" si="41"/>
        <v>G Runner Up</v>
      </c>
      <c r="R28" s="85"/>
      <c r="S28" s="85"/>
      <c r="T28" s="14"/>
      <c r="U28" s="32">
        <f t="shared" si="42"/>
        <v>0</v>
      </c>
      <c r="V28" s="184"/>
      <c r="W28" s="162">
        <f t="shared" si="19"/>
        <v>0</v>
      </c>
      <c r="X28" s="29" t="str">
        <f t="shared" si="55"/>
        <v>Match 56 Winner</v>
      </c>
      <c r="Y28" s="35" t="str">
        <f t="shared" si="44"/>
        <v>H Winner</v>
      </c>
      <c r="Z28" s="75"/>
      <c r="AA28" s="75"/>
      <c r="AB28" s="36" t="str">
        <f t="shared" si="45"/>
        <v>G Runner Up</v>
      </c>
      <c r="AC28" s="85"/>
      <c r="AD28" s="85"/>
      <c r="AE28" s="14"/>
      <c r="AF28" s="32">
        <f t="shared" si="46"/>
        <v>0</v>
      </c>
      <c r="AG28" s="184"/>
      <c r="AH28" s="162">
        <f t="shared" si="21"/>
        <v>0</v>
      </c>
      <c r="AI28" s="29" t="str">
        <f t="shared" si="50"/>
        <v>Match 56 Winner</v>
      </c>
      <c r="AJ28" s="35" t="str">
        <f t="shared" si="23"/>
        <v>H Winner</v>
      </c>
      <c r="AK28" s="75"/>
      <c r="AL28" s="75"/>
      <c r="AM28" s="36" t="str">
        <f t="shared" si="24"/>
        <v>G Runner Up</v>
      </c>
      <c r="AN28" s="85"/>
      <c r="AO28" s="85"/>
      <c r="AP28" s="14"/>
      <c r="AQ28" s="32">
        <f t="shared" si="47"/>
        <v>0</v>
      </c>
      <c r="AR28" s="184"/>
      <c r="AS28" s="162">
        <f t="shared" si="26"/>
        <v>0</v>
      </c>
      <c r="AT28" s="29" t="str">
        <f t="shared" si="51"/>
        <v>Match 56 Winner</v>
      </c>
      <c r="AU28" s="35" t="str">
        <f t="shared" si="23"/>
        <v>H Winner</v>
      </c>
      <c r="AV28" s="75"/>
      <c r="AW28" s="75"/>
      <c r="AX28" s="36" t="str">
        <f t="shared" si="24"/>
        <v>G Runner Up</v>
      </c>
      <c r="AY28" s="85"/>
      <c r="AZ28" s="85"/>
      <c r="BA28" s="14"/>
      <c r="BB28" s="32">
        <f t="shared" si="48"/>
        <v>0</v>
      </c>
      <c r="BC28" s="184"/>
      <c r="BD28" s="162">
        <f t="shared" si="31"/>
        <v>0</v>
      </c>
      <c r="BE28" s="29" t="str">
        <f t="shared" si="52"/>
        <v>Match 56 Winner</v>
      </c>
      <c r="BF28" s="35" t="str">
        <f t="shared" si="23"/>
        <v>H Winner</v>
      </c>
      <c r="BG28" s="75"/>
      <c r="BH28" s="75"/>
      <c r="BI28" s="36" t="str">
        <f t="shared" si="24"/>
        <v>G Runner Up</v>
      </c>
      <c r="BJ28" s="85"/>
      <c r="BK28" s="85"/>
      <c r="BL28" s="14"/>
      <c r="BM28" s="32">
        <f t="shared" si="49"/>
        <v>0</v>
      </c>
      <c r="BN28" s="184"/>
      <c r="BO28" s="162">
        <f t="shared" si="36"/>
        <v>0</v>
      </c>
    </row>
    <row r="29" spans="1:67" x14ac:dyDescent="0.3">
      <c r="A29" s="109" t="str">
        <f>I9</f>
        <v>Russia</v>
      </c>
      <c r="B29" s="163" t="str">
        <f>F33</f>
        <v>Match #57 Winner</v>
      </c>
      <c r="C29" s="24">
        <v>57</v>
      </c>
      <c r="D29" s="24" t="s">
        <v>36</v>
      </c>
      <c r="E29" s="25">
        <v>43287</v>
      </c>
      <c r="F29" s="37" t="str">
        <f>IF(AND(G21&lt;&gt;"",H21&lt;&gt;""),IF((G21+J21)&gt;(H21+K21),F21,IF((G21+J21)&lt;(H21+K21),I21,"Match #49 Winner")),"Match #49 Winner")</f>
        <v>Match #49 Winner</v>
      </c>
      <c r="G29" s="76"/>
      <c r="H29" s="76"/>
      <c r="I29" s="38" t="str">
        <f>IF(AND(G22&lt;&gt;"",H22&lt;&gt;""),IF((G22+J22)&gt;(H22+K22),F22,IF((G22+J22)&lt;(H22+K22),I22,"Match #50 Winner")),"Match #50 Winner")</f>
        <v>Match #50 Winner</v>
      </c>
      <c r="J29" s="80"/>
      <c r="K29" s="80"/>
      <c r="L29" s="164"/>
      <c r="M29" s="29" t="str">
        <f>N33</f>
        <v>Match 57 Winner</v>
      </c>
      <c r="N29" s="35" t="str">
        <f>IF(O$4&lt;&gt;"",IF(KOMatchRule=1,$F29,IF(AND(O21&lt;&gt;"",P21&lt;&gt;""),IF((O21+R21)&gt;(P21+S21),N21,IF((O21+R21)&lt;(P21+S21),Q21,"Match 49 Winner")),"Match 49 Winner")),"")</f>
        <v>Match 49 Winner</v>
      </c>
      <c r="O29" s="81"/>
      <c r="P29" s="81"/>
      <c r="Q29" s="36" t="str">
        <f>IF(O$4&lt;&gt;"",IF(KOMatchRule=1,$I29,IF(AND(O22&lt;&gt;"",P22&lt;&gt;""),IF((O22+R22)&gt;(P22+S22),N22,IF((O22+R22)&lt;(P22+S22),Q22,"Match 50 Winner")),"Match 50 Winner")),"")</f>
        <v>Match 50 Winner</v>
      </c>
      <c r="R29" s="85"/>
      <c r="S29" s="85"/>
      <c r="T29" s="14"/>
      <c r="U29" s="32">
        <f>IF(KOMatchRule=1,IFERROR(IF(AND($G29&lt;&gt;"",$H29&lt;&gt;"",O29&lt;&gt;"",P29&lt;&gt;""),IF(AND($G29=O29,$H29=P29),Quar1,IF(($G29-$H29)=(O29-P29),Quar2,IF(AND(($G29&gt;$H29),(O29&gt;P29)),Quar3,IF(AND(($H29&gt;$G29),(P29&gt;O29)),Quar3,0)))),0),0)+IFERROR(IF(KOPSO=1,IF(AND($J29&lt;&gt;"",$K29&lt;&gt;"",R29&lt;&gt;"",S29&lt;&gt;"",($G29-$H29)=(O29-P29)),IF(AND($J29=R29,$K29=S29),Pena1,IF(($J29-$K29)=(R29-S29),Pena2,IF(AND(($J29&gt;$K29),(R29&gt;S29)),Pena3,IF(AND(($J29&lt;$K29),(S29&gt;R29)),Pena3,0)))),0),0),0),IFERROR(IF(AND($F29=N29,$I29=Q29,$G29&lt;&gt;"",$H29&lt;&gt;"",O29&lt;&gt;"",P29&lt;&gt;""),IF(AND($G29=O29,$H29=P29),Quar1,IF(($G29-$H29)=(O29-P29),Quar2,IF(AND(($G29&gt;$H29),(O29&gt;P29)),Quar3,IF(AND(($H29&gt;$G29),(P29&gt;O29)),Quar3,0)))),0),0)+IFERROR(IF(KOPSO=1,IF(AND($F29=N29,$I29=Q29,$J29&lt;&gt;"",$K29&lt;&gt;"",R29&lt;&gt;"",S29&lt;&gt;"",($G29-$H29)=(O29-P29)),IF(AND($J29=R29,$K29=S29),Pena1,IF(($J29-$K29)=(R29-S29),Pena2,IF(AND(($J29&gt;$K29),(R29&gt;S29)),Pena3,IF(AND(($J29&lt;$K29),(S29&gt;R29)),Pena3,0)))),0),0),0))</f>
        <v>0</v>
      </c>
      <c r="V29" s="184"/>
      <c r="W29" s="162">
        <f>IF(U29=Quar1,W28+1,0)</f>
        <v>0</v>
      </c>
      <c r="X29" s="29" t="str">
        <f>Y33</f>
        <v>Match 57 Winner</v>
      </c>
      <c r="Y29" s="35" t="str">
        <f>IF(Z$4&lt;&gt;"",IF(KOMatchRule=1,$F29,IF(AND(Z21&lt;&gt;"",AA21&lt;&gt;""),IF((Z21+AC21)&gt;(AA21+AD21),Y21,IF((Z21+AC21)&lt;(AA21+AD21),AB21,"Match 49 Winner")),"Match 49 Winner")),"")</f>
        <v>Match 49 Winner</v>
      </c>
      <c r="Z29" s="81"/>
      <c r="AA29" s="81"/>
      <c r="AB29" s="36" t="str">
        <f>IF(Z$4&lt;&gt;"",IF(KOMatchRule=1,$I29,IF(AND(Z22&lt;&gt;"",AA22&lt;&gt;""),IF((Z22+AC22)&gt;(AA22+AD22),Y22,IF((Z22+AC22)&lt;(AA22+AD22),AB22,"Match 50 Winner")),"Match 50 Winner")),"")</f>
        <v>Match 50 Winner</v>
      </c>
      <c r="AC29" s="85"/>
      <c r="AD29" s="85"/>
      <c r="AE29" s="14"/>
      <c r="AF29" s="32">
        <f>IF(KOMatchRule=1,IFERROR(IF(AND($G29&lt;&gt;"",$H29&lt;&gt;"",Z29&lt;&gt;"",AA29&lt;&gt;""),IF(AND($G29=Z29,$H29=AA29),Quar1,IF(($G29-$H29)=(Z29-AA29),Quar2,IF(AND(($G29&gt;$H29),(Z29&gt;AA29)),Quar3,IF(AND(($H29&gt;$G29),(AA29&gt;Z29)),Quar3,0)))),0),0)+IFERROR(IF(KOPSO=1,IF(AND($J29&lt;&gt;"",$K29&lt;&gt;"",AC29&lt;&gt;"",AD29&lt;&gt;"",($G29-$H29)=(Z29-AA29)),IF(AND($J29=AC29,$K29=AD29),Pena1,IF(($J29-$K29)=(AC29-AD29),Pena2,IF(AND(($J29&gt;$K29),(AC29&gt;AD29)),Pena3,IF(AND(($J29&lt;$K29),(AD29&gt;AC29)),Pena3,0)))),0),0),0),IFERROR(IF(AND($F29=Y29,$I29=AB29,$G29&lt;&gt;"",$H29&lt;&gt;"",Z29&lt;&gt;"",AA29&lt;&gt;""),IF(AND($G29=Z29,$H29=AA29),Quar1,IF(($G29-$H29)=(Z29-AA29),Quar2,IF(AND(($G29&gt;$H29),(Z29&gt;AA29)),Quar3,IF(AND(($H29&gt;$G29),(AA29&gt;Z29)),Quar3,0)))),0),0)+IFERROR(IF(KOPSO=1,IF(AND($F29=Y29,$I29=AB29,$J29&lt;&gt;"",$K29&lt;&gt;"",AC29&lt;&gt;"",AD29&lt;&gt;"",($G29-$H29)=(Z29-AA29)),IF(AND($J29=AC29,$K29=AD29),Pena1,IF(($J29-$K29)=(AC29-AD29),Pena2,IF(AND(($J29&gt;$K29),(AC29&gt;AD29)),Pena3,IF(AND(($J29&lt;$K29),(AD29&gt;AC29)),Pena3,0)))),0),0),0))</f>
        <v>0</v>
      </c>
      <c r="AG29" s="184"/>
      <c r="AH29" s="162">
        <f>IF(AF29=Quar1,AH28+1,0)</f>
        <v>0</v>
      </c>
      <c r="AI29" s="29" t="str">
        <f t="shared" ref="AI29" si="56">AJ33</f>
        <v>Match 57 Winner</v>
      </c>
      <c r="AJ29" s="35" t="str">
        <f>IF(AK$4&lt;&gt;"",IF(KOMatchRule=1,$F29,IF(AND(AK21&lt;&gt;"",AL21&lt;&gt;""),IF((AK21+AN21)&gt;(AL21+AO21),AJ21,IF((AK21+AN21)&lt;(AL21+AO21),AM21,"Match 49 Winner")),"Match 49 Winner")),"")</f>
        <v>Match 49 Winner</v>
      </c>
      <c r="AK29" s="81"/>
      <c r="AL29" s="81"/>
      <c r="AM29" s="36" t="str">
        <f>IF(AK$4&lt;&gt;"",IF(KOMatchRule=1,$I29,IF(AND(AK22&lt;&gt;"",AL22&lt;&gt;""),IF((AK22+AN22)&gt;(AL22+AO22),AJ22,IF((AK22+AN22)&lt;(AL22+AO22),AM22,"Match 50 Winner")),"Match 50 Winner")),"")</f>
        <v>Match 50 Winner</v>
      </c>
      <c r="AN29" s="85"/>
      <c r="AO29" s="85"/>
      <c r="AP29" s="14"/>
      <c r="AQ29" s="32">
        <f>IF(KOMatchRule=1,IFERROR(IF(AND($G29&lt;&gt;"",$H29&lt;&gt;"",AK29&lt;&gt;"",AL29&lt;&gt;""),IF(AND($G29=AK29,$H29=AL29),Quar1,IF(($G29-$H29)=(AK29-AL29),Quar2,IF(AND(($G29&gt;$H29),(AK29&gt;AL29)),Quar3,IF(AND(($H29&gt;$G29),(AL29&gt;AK29)),Quar3,0)))),0),0)+IFERROR(IF(KOPSO=1,IF(AND($J29&lt;&gt;"",$K29&lt;&gt;"",AN29&lt;&gt;"",AO29&lt;&gt;"",($G29-$H29)=(AK29-AL29)),IF(AND($J29=AN29,$K29=AO29),Pena1,IF(($J29-$K29)=(AN29-AO29),Pena2,IF(AND(($J29&gt;$K29),(AN29&gt;AO29)),Pena3,IF(AND(($J29&lt;$K29),(AO29&gt;AN29)),Pena3,0)))),0),0),0),IFERROR(IF(AND($F29=AJ29,$I29=AM29,$G29&lt;&gt;"",$H29&lt;&gt;"",AK29&lt;&gt;"",AL29&lt;&gt;""),IF(AND($G29=AK29,$H29=AL29),Quar1,IF(($G29-$H29)=(AK29-AL29),Quar2,IF(AND(($G29&gt;$H29),(AK29&gt;AL29)),Quar3,IF(AND(($H29&gt;$G29),(AL29&gt;AK29)),Quar3,0)))),0),0)+IFERROR(IF(KOPSO=1,IF(AND($F29=AJ29,$I29=AM29,$J29&lt;&gt;"",$K29&lt;&gt;"",AN29&lt;&gt;"",AO29&lt;&gt;"",($G29-$H29)=(AK29-AL29)),IF(AND($J29=AN29,$K29=AO29),Pena1,IF(($J29-$K29)=(AN29-AO29),Pena2,IF(AND(($J29&gt;$K29),(AN29&gt;AO29)),Pena3,IF(AND(($J29&lt;$K29),(AO29&gt;AN29)),Pena3,0)))),0),0),0))</f>
        <v>0</v>
      </c>
      <c r="AR29" s="184"/>
      <c r="AS29" s="162">
        <f>IF(AQ29=Quar1,AS28+1,0)</f>
        <v>0</v>
      </c>
      <c r="AT29" s="29" t="str">
        <f t="shared" ref="AT29" si="57">AU33</f>
        <v>Match 57 Winner</v>
      </c>
      <c r="AU29" s="35" t="str">
        <f>IF(AV$4&lt;&gt;"",IF(KOMatchRule=1,$F29,IF(AND(AV21&lt;&gt;"",AW21&lt;&gt;""),IF((AV21+AY21)&gt;(AW21+AZ21),AU21,IF((AV21+AY21)&lt;(AW21+AZ21),AX21,"Match 49 Winner")),"Match 49 Winner")),"")</f>
        <v>Match 49 Winner</v>
      </c>
      <c r="AV29" s="81"/>
      <c r="AW29" s="81"/>
      <c r="AX29" s="36" t="str">
        <f>IF(AV$4&lt;&gt;"",IF(KOMatchRule=1,$I29,IF(AND(AV22&lt;&gt;"",AW22&lt;&gt;""),IF((AV22+AY22)&gt;(AW22+AZ22),AU22,IF((AV22+AY22)&lt;(AW22+AZ22),AX22,"Match 50 Winner")),"Match 50 Winner")),"")</f>
        <v>Match 50 Winner</v>
      </c>
      <c r="AY29" s="85"/>
      <c r="AZ29" s="85"/>
      <c r="BA29" s="14"/>
      <c r="BB29" s="32">
        <f>IF(KOMatchRule=1,IFERROR(IF(AND($G29&lt;&gt;"",$H29&lt;&gt;"",AV29&lt;&gt;"",AW29&lt;&gt;""),IF(AND($G29=AV29,$H29=AW29),Quar1,IF(($G29-$H29)=(AV29-AW29),Quar2,IF(AND(($G29&gt;$H29),(AV29&gt;AW29)),Quar3,IF(AND(($H29&gt;$G29),(AW29&gt;AV29)),Quar3,0)))),0),0)+IFERROR(IF(KOPSO=1,IF(AND($J29&lt;&gt;"",$K29&lt;&gt;"",AY29&lt;&gt;"",AZ29&lt;&gt;"",($G29-$H29)=(AV29-AW29)),IF(AND($J29=AY29,$K29=AZ29),Pena1,IF(($J29-$K29)=(AY29-AZ29),Pena2,IF(AND(($J29&gt;$K29),(AY29&gt;AZ29)),Pena3,IF(AND(($J29&lt;$K29),(AZ29&gt;AY29)),Pena3,0)))),0),0),0),IFERROR(IF(AND($F29=AU29,$I29=AX29,$G29&lt;&gt;"",$H29&lt;&gt;"",AV29&lt;&gt;"",AW29&lt;&gt;""),IF(AND($G29=AV29,$H29=AW29),Quar1,IF(($G29-$H29)=(AV29-AW29),Quar2,IF(AND(($G29&gt;$H29),(AV29&gt;AW29)),Quar3,IF(AND(($H29&gt;$G29),(AW29&gt;AV29)),Quar3,0)))),0),0)+IFERROR(IF(KOPSO=1,IF(AND($F29=AU29,$I29=AX29,$J29&lt;&gt;"",$K29&lt;&gt;"",AY29&lt;&gt;"",AZ29&lt;&gt;"",($G29-$H29)=(AV29-AW29)),IF(AND($J29=AY29,$K29=AZ29),Pena1,IF(($J29-$K29)=(AY29-AZ29),Pena2,IF(AND(($J29&gt;$K29),(AY29&gt;AZ29)),Pena3,IF(AND(($J29&lt;$K29),(AZ29&gt;AY29)),Pena3,0)))),0),0),0))</f>
        <v>0</v>
      </c>
      <c r="BC29" s="184"/>
      <c r="BD29" s="162">
        <f>IF(BB29=Quar1,BD28+1,0)</f>
        <v>0</v>
      </c>
      <c r="BE29" s="29" t="str">
        <f t="shared" ref="BE29" si="58">BF33</f>
        <v>Match 57 Winner</v>
      </c>
      <c r="BF29" s="35" t="str">
        <f>IF(BG$4&lt;&gt;"",IF(KOMatchRule=1,$F29,IF(AND(BG21&lt;&gt;"",BH21&lt;&gt;""),IF((BG21+BJ21)&gt;(BH21+BK21),BF21,IF((BG21+BJ21)&lt;(BH21+BK21),BI21,"Match 49 Winner")),"Match 49 Winner")),"")</f>
        <v>Match 49 Winner</v>
      </c>
      <c r="BG29" s="81"/>
      <c r="BH29" s="81"/>
      <c r="BI29" s="36" t="str">
        <f>IF(BG$4&lt;&gt;"",IF(KOMatchRule=1,$I29,IF(AND(BG22&lt;&gt;"",BH22&lt;&gt;""),IF((BG22+BJ22)&gt;(BH22+BK22),BF22,IF((BG22+BJ22)&lt;(BH22+BK22),BI22,"Match 50 Winner")),"Match 50 Winner")),"")</f>
        <v>Match 50 Winner</v>
      </c>
      <c r="BJ29" s="85"/>
      <c r="BK29" s="85"/>
      <c r="BL29" s="14"/>
      <c r="BM29" s="32">
        <f>IF(KOMatchRule=1,IFERROR(IF(AND($G29&lt;&gt;"",$H29&lt;&gt;"",BG29&lt;&gt;"",BH29&lt;&gt;""),IF(AND($G29=BG29,$H29=BH29),Quar1,IF(($G29-$H29)=(BG29-BH29),Quar2,IF(AND(($G29&gt;$H29),(BG29&gt;BH29)),Quar3,IF(AND(($H29&gt;$G29),(BH29&gt;BG29)),Quar3,0)))),0),0)+IFERROR(IF(KOPSO=1,IF(AND($J29&lt;&gt;"",$K29&lt;&gt;"",BJ29&lt;&gt;"",BK29&lt;&gt;"",($G29-$H29)=(BG29-BH29)),IF(AND($J29=BJ29,$K29=BK29),Pena1,IF(($J29-$K29)=(BJ29-BK29),Pena2,IF(AND(($J29&gt;$K29),(BJ29&gt;BK29)),Pena3,IF(AND(($J29&lt;$K29),(BK29&gt;BJ29)),Pena3,0)))),0),0),0),IFERROR(IF(AND($F29=BF29,$I29=BI29,$G29&lt;&gt;"",$H29&lt;&gt;"",BG29&lt;&gt;"",BH29&lt;&gt;""),IF(AND($G29=BG29,$H29=BH29),Quar1,IF(($G29-$H29)=(BG29-BH29),Quar2,IF(AND(($G29&gt;$H29),(BG29&gt;BH29)),Quar3,IF(AND(($H29&gt;$G29),(BH29&gt;BG29)),Quar3,0)))),0),0)+IFERROR(IF(KOPSO=1,IF(AND($F29=BF29,$I29=BI29,$J29&lt;&gt;"",$K29&lt;&gt;"",BJ29&lt;&gt;"",BK29&lt;&gt;"",($G29-$H29)=(BG29-BH29)),IF(AND($J29=BJ29,$K29=BK29),Pena1,IF(($J29-$K29)=(BJ29-BK29),Pena2,IF(AND(($J29&gt;$K29),(BJ29&gt;BK29)),Pena3,IF(AND(($J29&lt;$K29),(BK29&gt;BJ29)),Pena3,0)))),0),0),0))</f>
        <v>0</v>
      </c>
      <c r="BN29" s="184"/>
      <c r="BO29" s="162">
        <f>IF(BM29=Quar1,BO28+1,0)</f>
        <v>0</v>
      </c>
    </row>
    <row r="30" spans="1:67" x14ac:dyDescent="0.3">
      <c r="A30" s="109" t="str">
        <f t="shared" ref="A30:A36" si="59">I10</f>
        <v>Portugal</v>
      </c>
      <c r="B30" s="163" t="str">
        <f>F34</f>
        <v>Match #59 Winner</v>
      </c>
      <c r="C30" s="24">
        <v>58</v>
      </c>
      <c r="D30" s="24" t="s">
        <v>36</v>
      </c>
      <c r="E30" s="25">
        <v>43287</v>
      </c>
      <c r="F30" s="26" t="str">
        <f>IF(AND(G25&lt;&gt;"",H25&lt;&gt;""),IF((G25+J25)&gt;(H25+K25),F25,IF((G25+J25)&lt;(H25+K25),I25,"Match #53 Winner")),"Match #53 Winner")</f>
        <v>Match #53 Winner</v>
      </c>
      <c r="G30" s="74"/>
      <c r="H30" s="74"/>
      <c r="I30" s="28" t="str">
        <f>IF(AND(G26&lt;&gt;"",H26&lt;&gt;""),IF((G26+J26)&gt;(H26+K26),F26,IF((G26+J26)&lt;(H26+K26),I26,"Match #54 Winner")),"Match #54 Winner")</f>
        <v>Match #54 Winner</v>
      </c>
      <c r="J30" s="80"/>
      <c r="K30" s="80"/>
      <c r="L30" s="164"/>
      <c r="M30" s="29" t="str">
        <f>N34</f>
        <v>Match 59 Winner</v>
      </c>
      <c r="N30" s="13" t="str">
        <f>IF(O$4&lt;&gt;"",IF(KOMatchRule=1,$F30,IF(AND(O25&lt;&gt;"",P25&lt;&gt;""),IF((O25+R25)&gt;(P25+S25),N25,IF((O25+R25)&lt;(P25+S25),Q25,"Match 53 Winner")),"Match 53 Winner")),"")</f>
        <v>Match 53 Winner</v>
      </c>
      <c r="O30" s="74"/>
      <c r="P30" s="74"/>
      <c r="Q30" s="15" t="str">
        <f>IF(O$4&lt;&gt;"",IF(KOMatchRule=1,$I30,IF(AND(O26&lt;&gt;"",P26&lt;&gt;""),IF((O26+R26)&gt;(P26+S26),N26,IF((O26+R26)&lt;(P26+S26),Q26,"Match 54 Winner")),"Match 54 Winner")),"")</f>
        <v>Match 54 Winner</v>
      </c>
      <c r="R30" s="85"/>
      <c r="S30" s="85"/>
      <c r="T30" s="14"/>
      <c r="U30" s="32">
        <f>IF(KOMatchRule=1,IFERROR(IF(AND($G30&lt;&gt;"",$H30&lt;&gt;"",O30&lt;&gt;"",P30&lt;&gt;""),IF(AND($G30=O30,$H30=P30),Quar1,IF(($G30-$H30)=(O30-P30),Quar2,IF(AND(($G30&gt;$H30),(O30&gt;P30)),Quar3,IF(AND(($H30&gt;$G30),(P30&gt;O30)),Quar3,0)))),0),0)+IFERROR(IF(KOPSO=1,IF(AND($J30&lt;&gt;"",$K30&lt;&gt;"",R30&lt;&gt;"",S30&lt;&gt;"",($G30-$H30)=(O30-P30)),IF(AND($J30=R30,$K30=S30),Pena1,IF(($J30-$K30)=(R30-S30),Pena2,IF(AND(($J30&gt;$K30),(R30&gt;S30)),Pena3,IF(AND(($J30&lt;$K30),(S30&gt;R30)),Pena3,0)))),0),0),0),IFERROR(IF(AND($F30=N30,$I30=Q30,$G30&lt;&gt;"",$H30&lt;&gt;"",O30&lt;&gt;"",P30&lt;&gt;""),IF(AND($G30=O30,$H30=P30),Quar1,IF(($G30-$H30)=(O30-P30),Quar2,IF(AND(($G30&gt;$H30),(O30&gt;P30)),Quar3,IF(AND(($H30&gt;$G30),(P30&gt;O30)),Quar3,0)))),0),0)+IFERROR(IF(KOPSO=1,IF(AND($F30=N30,$I30=Q30,$J30&lt;&gt;"",$K30&lt;&gt;"",R30&lt;&gt;"",S30&lt;&gt;"",($G30-$H30)=(O30-P30)),IF(AND($J30=R30,$K30=S30),Pena1,IF(($J30-$K30)=(R30-S30),Pena2,IF(AND(($J30&gt;$K30),(R30&gt;S30)),Pena3,IF(AND(($J30&lt;$K30),(S30&gt;R30)),Pena3,0)))),0),0),0))</f>
        <v>0</v>
      </c>
      <c r="V30" s="184"/>
      <c r="W30" s="162">
        <f>IF(U30=Quar1,W29+1,0)</f>
        <v>0</v>
      </c>
      <c r="X30" s="29" t="str">
        <f>Y34</f>
        <v>Match 59 Winner</v>
      </c>
      <c r="Y30" s="13" t="str">
        <f>IF(Z$4&lt;&gt;"",IF(KOMatchRule=1,$F30,IF(AND(Z25&lt;&gt;"",AA25&lt;&gt;""),IF((Z25+AC25)&gt;(AA25+AD25),Y25,IF((Z25+AC25)&lt;(AA25+AD25),AB25,"Match 53 Winner")),"Match 53 Winner")),"")</f>
        <v>Match 53 Winner</v>
      </c>
      <c r="Z30" s="74"/>
      <c r="AA30" s="74"/>
      <c r="AB30" s="15" t="str">
        <f>IF(Z$4&lt;&gt;"",IF(KOMatchRule=1,$I30,IF(AND(Z26&lt;&gt;"",AA26&lt;&gt;""),IF((Z26+AC26)&gt;(AA26+AD26),Y26,IF((Z26+AC26)&lt;(AA26+AD26),AB26,"Match 54 Winner")),"Match 54 Winner")),"")</f>
        <v>Match 54 Winner</v>
      </c>
      <c r="AC30" s="85"/>
      <c r="AD30" s="85"/>
      <c r="AE30" s="14"/>
      <c r="AF30" s="32">
        <f>IF(KOMatchRule=1,IFERROR(IF(AND($G30&lt;&gt;"",$H30&lt;&gt;"",Z30&lt;&gt;"",AA30&lt;&gt;""),IF(AND($G30=Z30,$H30=AA30),Quar1,IF(($G30-$H30)=(Z30-AA30),Quar2,IF(AND(($G30&gt;$H30),(Z30&gt;AA30)),Quar3,IF(AND(($H30&gt;$G30),(AA30&gt;Z30)),Quar3,0)))),0),0)+IFERROR(IF(KOPSO=1,IF(AND($J30&lt;&gt;"",$K30&lt;&gt;"",AC30&lt;&gt;"",AD30&lt;&gt;"",($G30-$H30)=(Z30-AA30)),IF(AND($J30=AC30,$K30=AD30),Pena1,IF(($J30-$K30)=(AC30-AD30),Pena2,IF(AND(($J30&gt;$K30),(AC30&gt;AD30)),Pena3,IF(AND(($J30&lt;$K30),(AD30&gt;AC30)),Pena3,0)))),0),0),0),IFERROR(IF(AND($F30=Y30,$I30=AB30,$G30&lt;&gt;"",$H30&lt;&gt;"",Z30&lt;&gt;"",AA30&lt;&gt;""),IF(AND($G30=Z30,$H30=AA30),Quar1,IF(($G30-$H30)=(Z30-AA30),Quar2,IF(AND(($G30&gt;$H30),(Z30&gt;AA30)),Quar3,IF(AND(($H30&gt;$G30),(AA30&gt;Z30)),Quar3,0)))),0),0)+IFERROR(IF(KOPSO=1,IF(AND($F30=Y30,$I30=AB30,$J30&lt;&gt;"",$K30&lt;&gt;"",AC30&lt;&gt;"",AD30&lt;&gt;"",($G30-$H30)=(Z30-AA30)),IF(AND($J30=AC30,$K30=AD30),Pena1,IF(($J30-$K30)=(AC30-AD30),Pena2,IF(AND(($J30&gt;$K30),(AC30&gt;AD30)),Pena3,IF(AND(($J30&lt;$K30),(AD30&gt;AC30)),Pena3,0)))),0),0),0))</f>
        <v>0</v>
      </c>
      <c r="AG30" s="184"/>
      <c r="AH30" s="162">
        <f>IF(AF30=Quar1,AH29+1,0)</f>
        <v>0</v>
      </c>
      <c r="AI30" s="29" t="str">
        <f t="shared" ref="AI30" si="60">AJ34</f>
        <v>Match 59 Winner</v>
      </c>
      <c r="AJ30" s="13" t="str">
        <f>IF(AK$4&lt;&gt;"",IF(KOMatchRule=1,$F30,IF(AND(AK25&lt;&gt;"",AL25&lt;&gt;""),IF((AK25+AN25)&gt;(AL25+AO25),AJ25,IF((AK25+AN25)&lt;(AL25+AO25),AM25,"Match 53 Winner")),"Match 53 Winner")),"")</f>
        <v>Match 53 Winner</v>
      </c>
      <c r="AK30" s="74"/>
      <c r="AL30" s="74"/>
      <c r="AM30" s="15" t="str">
        <f>IF(AK$4&lt;&gt;"",IF(KOMatchRule=1,$I30,IF(AND(AK26&lt;&gt;"",AL26&lt;&gt;""),IF((AK26+AN26)&gt;(AL26+AO26),AJ26,IF((AK26+AN26)&lt;(AL26+AO26),AM26,"Match 54 Winner")),"Match 54 Winner")),"")</f>
        <v>Match 54 Winner</v>
      </c>
      <c r="AN30" s="85"/>
      <c r="AO30" s="85"/>
      <c r="AP30" s="14"/>
      <c r="AQ30" s="32">
        <f>IF(KOMatchRule=1,IFERROR(IF(AND($G30&lt;&gt;"",$H30&lt;&gt;"",AK30&lt;&gt;"",AL30&lt;&gt;""),IF(AND($G30=AK30,$H30=AL30),Quar1,IF(($G30-$H30)=(AK30-AL30),Quar2,IF(AND(($G30&gt;$H30),(AK30&gt;AL30)),Quar3,IF(AND(($H30&gt;$G30),(AL30&gt;AK30)),Quar3,0)))),0),0)+IFERROR(IF(KOPSO=1,IF(AND($J30&lt;&gt;"",$K30&lt;&gt;"",AN30&lt;&gt;"",AO30&lt;&gt;"",($G30-$H30)=(AK30-AL30)),IF(AND($J30=AN30,$K30=AO30),Pena1,IF(($J30-$K30)=(AN30-AO30),Pena2,IF(AND(($J30&gt;$K30),(AN30&gt;AO30)),Pena3,IF(AND(($J30&lt;$K30),(AO30&gt;AN30)),Pena3,0)))),0),0),0),IFERROR(IF(AND($F30=AJ30,$I30=AM30,$G30&lt;&gt;"",$H30&lt;&gt;"",AK30&lt;&gt;"",AL30&lt;&gt;""),IF(AND($G30=AK30,$H30=AL30),Quar1,IF(($G30-$H30)=(AK30-AL30),Quar2,IF(AND(($G30&gt;$H30),(AK30&gt;AL30)),Quar3,IF(AND(($H30&gt;$G30),(AL30&gt;AK30)),Quar3,0)))),0),0)+IFERROR(IF(KOPSO=1,IF(AND($F30=AJ30,$I30=AM30,$J30&lt;&gt;"",$K30&lt;&gt;"",AN30&lt;&gt;"",AO30&lt;&gt;"",($G30-$H30)=(AK30-AL30)),IF(AND($J30=AN30,$K30=AO30),Pena1,IF(($J30-$K30)=(AN30-AO30),Pena2,IF(AND(($J30&gt;$K30),(AN30&gt;AO30)),Pena3,IF(AND(($J30&lt;$K30),(AO30&gt;AN30)),Pena3,0)))),0),0),0))</f>
        <v>0</v>
      </c>
      <c r="AR30" s="184"/>
      <c r="AS30" s="162">
        <f>IF(AQ30=Quar1,AS29+1,0)</f>
        <v>0</v>
      </c>
      <c r="AT30" s="29" t="str">
        <f t="shared" ref="AT30" si="61">AU34</f>
        <v>Match 59 Winner</v>
      </c>
      <c r="AU30" s="13" t="str">
        <f>IF(AV$4&lt;&gt;"",IF(KOMatchRule=1,$F30,IF(AND(AV25&lt;&gt;"",AW25&lt;&gt;""),IF((AV25+AY25)&gt;(AW25+AZ25),AU25,IF((AV25+AY25)&lt;(AW25+AZ25),AX25,"Match 53 Winner")),"Match 53 Winner")),"")</f>
        <v>Match 53 Winner</v>
      </c>
      <c r="AV30" s="74"/>
      <c r="AW30" s="74"/>
      <c r="AX30" s="15" t="str">
        <f>IF(AV$4&lt;&gt;"",IF(KOMatchRule=1,$I30,IF(AND(AV26&lt;&gt;"",AW26&lt;&gt;""),IF((AV26+AY26)&gt;(AW26+AZ26),AU26,IF((AV26+AY26)&lt;(AW26+AZ26),AX26,"Match 54 Winner")),"Match 54 Winner")),"")</f>
        <v>Match 54 Winner</v>
      </c>
      <c r="AY30" s="85"/>
      <c r="AZ30" s="85"/>
      <c r="BA30" s="14"/>
      <c r="BB30" s="32">
        <f>IF(KOMatchRule=1,IFERROR(IF(AND($G30&lt;&gt;"",$H30&lt;&gt;"",AV30&lt;&gt;"",AW30&lt;&gt;""),IF(AND($G30=AV30,$H30=AW30),Quar1,IF(($G30-$H30)=(AV30-AW30),Quar2,IF(AND(($G30&gt;$H30),(AV30&gt;AW30)),Quar3,IF(AND(($H30&gt;$G30),(AW30&gt;AV30)),Quar3,0)))),0),0)+IFERROR(IF(KOPSO=1,IF(AND($J30&lt;&gt;"",$K30&lt;&gt;"",AY30&lt;&gt;"",AZ30&lt;&gt;"",($G30-$H30)=(AV30-AW30)),IF(AND($J30=AY30,$K30=AZ30),Pena1,IF(($J30-$K30)=(AY30-AZ30),Pena2,IF(AND(($J30&gt;$K30),(AY30&gt;AZ30)),Pena3,IF(AND(($J30&lt;$K30),(AZ30&gt;AY30)),Pena3,0)))),0),0),0),IFERROR(IF(AND($F30=AU30,$I30=AX30,$G30&lt;&gt;"",$H30&lt;&gt;"",AV30&lt;&gt;"",AW30&lt;&gt;""),IF(AND($G30=AV30,$H30=AW30),Quar1,IF(($G30-$H30)=(AV30-AW30),Quar2,IF(AND(($G30&gt;$H30),(AV30&gt;AW30)),Quar3,IF(AND(($H30&gt;$G30),(AW30&gt;AV30)),Quar3,0)))),0),0)+IFERROR(IF(KOPSO=1,IF(AND($F30=AU30,$I30=AX30,$J30&lt;&gt;"",$K30&lt;&gt;"",AY30&lt;&gt;"",AZ30&lt;&gt;"",($G30-$H30)=(AV30-AW30)),IF(AND($J30=AY30,$K30=AZ30),Pena1,IF(($J30-$K30)=(AY30-AZ30),Pena2,IF(AND(($J30&gt;$K30),(AY30&gt;AZ30)),Pena3,IF(AND(($J30&lt;$K30),(AZ30&gt;AY30)),Pena3,0)))),0),0),0))</f>
        <v>0</v>
      </c>
      <c r="BC30" s="184"/>
      <c r="BD30" s="162">
        <f>IF(BB30=Quar1,BD29+1,0)</f>
        <v>0</v>
      </c>
      <c r="BE30" s="29" t="str">
        <f t="shared" ref="BE30" si="62">BF34</f>
        <v>Match 59 Winner</v>
      </c>
      <c r="BF30" s="13" t="str">
        <f>IF(BG$4&lt;&gt;"",IF(KOMatchRule=1,$F30,IF(AND(BG25&lt;&gt;"",BH25&lt;&gt;""),IF((BG25+BJ25)&gt;(BH25+BK25),BF25,IF((BG25+BJ25)&lt;(BH25+BK25),BI25,"Match 53 Winner")),"Match 53 Winner")),"")</f>
        <v>Match 53 Winner</v>
      </c>
      <c r="BG30" s="74"/>
      <c r="BH30" s="74"/>
      <c r="BI30" s="15" t="str">
        <f>IF(BG$4&lt;&gt;"",IF(KOMatchRule=1,$I30,IF(AND(BG26&lt;&gt;"",BH26&lt;&gt;""),IF((BG26+BJ26)&gt;(BH26+BK26),BF26,IF((BG26+BJ26)&lt;(BH26+BK26),BI26,"Match 54 Winner")),"Match 54 Winner")),"")</f>
        <v>Match 54 Winner</v>
      </c>
      <c r="BJ30" s="85"/>
      <c r="BK30" s="85"/>
      <c r="BL30" s="14"/>
      <c r="BM30" s="32">
        <f>IF(KOMatchRule=1,IFERROR(IF(AND($G30&lt;&gt;"",$H30&lt;&gt;"",BG30&lt;&gt;"",BH30&lt;&gt;""),IF(AND($G30=BG30,$H30=BH30),Quar1,IF(($G30-$H30)=(BG30-BH30),Quar2,IF(AND(($G30&gt;$H30),(BG30&gt;BH30)),Quar3,IF(AND(($H30&gt;$G30),(BH30&gt;BG30)),Quar3,0)))),0),0)+IFERROR(IF(KOPSO=1,IF(AND($J30&lt;&gt;"",$K30&lt;&gt;"",BJ30&lt;&gt;"",BK30&lt;&gt;"",($G30-$H30)=(BG30-BH30)),IF(AND($J30=BJ30,$K30=BK30),Pena1,IF(($J30-$K30)=(BJ30-BK30),Pena2,IF(AND(($J30&gt;$K30),(BJ30&gt;BK30)),Pena3,IF(AND(($J30&lt;$K30),(BK30&gt;BJ30)),Pena3,0)))),0),0),0),IFERROR(IF(AND($F30=BF30,$I30=BI30,$G30&lt;&gt;"",$H30&lt;&gt;"",BG30&lt;&gt;"",BH30&lt;&gt;""),IF(AND($G30=BG30,$H30=BH30),Quar1,IF(($G30-$H30)=(BG30-BH30),Quar2,IF(AND(($G30&gt;$H30),(BG30&gt;BH30)),Quar3,IF(AND(($H30&gt;$G30),(BH30&gt;BG30)),Quar3,0)))),0),0)+IFERROR(IF(KOPSO=1,IF(AND($F30=BF30,$I30=BI30,$J30&lt;&gt;"",$K30&lt;&gt;"",BJ30&lt;&gt;"",BK30&lt;&gt;"",($G30-$H30)=(BG30-BH30)),IF(AND($J30=BJ30,$K30=BK30),Pena1,IF(($J30-$K30)=(BJ30-BK30),Pena2,IF(AND(($J30&gt;$K30),(BJ30&gt;BK30)),Pena3,IF(AND(($J30&lt;$K30),(BK30&gt;BJ30)),Pena3,0)))),0),0),0))</f>
        <v>0</v>
      </c>
      <c r="BN30" s="184"/>
      <c r="BO30" s="162">
        <f>IF(BM30=Quar1,BO29+1,0)</f>
        <v>0</v>
      </c>
    </row>
    <row r="31" spans="1:67" x14ac:dyDescent="0.3">
      <c r="A31" s="109" t="str">
        <f t="shared" si="59"/>
        <v>Denmark</v>
      </c>
      <c r="B31" s="163" t="str">
        <f>I33</f>
        <v>Match #58 Winner</v>
      </c>
      <c r="C31" s="24">
        <v>59</v>
      </c>
      <c r="D31" s="24" t="s">
        <v>36</v>
      </c>
      <c r="E31" s="25">
        <v>43288</v>
      </c>
      <c r="F31" s="26" t="str">
        <f>IF(AND(G23&lt;&gt;"",H23&lt;&gt;""),IF((G23+J23)&gt;(H23+K23),F23,IF((G23+J23)&lt;(H23+K23),I23,"Match #51 Winner")),"Match #51 Winner")</f>
        <v>Match #51 Winner</v>
      </c>
      <c r="G31" s="74"/>
      <c r="H31" s="74"/>
      <c r="I31" s="28" t="str">
        <f>IF(AND(G24&lt;&gt;"",H24&lt;&gt;""),IF((G24+J24)&gt;(H24+K24),F24,IF((G24+J24)&lt;(H24+K24),I24,"Match #52 Winner")),"Match #52 Winner")</f>
        <v>Match #52 Winner</v>
      </c>
      <c r="J31" s="80"/>
      <c r="K31" s="80"/>
      <c r="L31" s="164"/>
      <c r="M31" s="29" t="str">
        <f>Q33</f>
        <v>Match 58 Winner</v>
      </c>
      <c r="N31" s="13" t="str">
        <f>IF(O$4&lt;&gt;"",IF(KOMatchRule=1,$F31,IF(AND(O23&lt;&gt;"",P23&lt;&gt;""),IF((O23+R23)&gt;(P23+S23),N23,IF((O23+R23)&lt;(P23+S23),Q23,"Match 51 Winner")),"Match 51 Winner")),"")</f>
        <v>Match 51 Winner</v>
      </c>
      <c r="O31" s="74"/>
      <c r="P31" s="74"/>
      <c r="Q31" s="15" t="str">
        <f>IF(O$4&lt;&gt;"",IF(KOMatchRule=1,$I31,IF(AND(O24&lt;&gt;"",P24&lt;&gt;""),IF((O24+R24)&gt;(P24+S24),N24,IF((O24+R24)&lt;(P24+S24),Q24,"Match 52 Winner")),"Match 52 Winner")),"")</f>
        <v>Match 52 Winner</v>
      </c>
      <c r="R31" s="85"/>
      <c r="S31" s="85"/>
      <c r="T31" s="14"/>
      <c r="U31" s="32">
        <f>IF(KOMatchRule=1,IFERROR(IF(AND($G31&lt;&gt;"",$H31&lt;&gt;"",O31&lt;&gt;"",P31&lt;&gt;""),IF(AND($G31=O31,$H31=P31),Quar1,IF(($G31-$H31)=(O31-P31),Quar2,IF(AND(($G31&gt;$H31),(O31&gt;P31)),Quar3,IF(AND(($H31&gt;$G31),(P31&gt;O31)),Quar3,0)))),0),0)+IFERROR(IF(KOPSO=1,IF(AND($J31&lt;&gt;"",$K31&lt;&gt;"",R31&lt;&gt;"",S31&lt;&gt;"",($G31-$H31)=(O31-P31)),IF(AND($J31=R31,$K31=S31),Pena1,IF(($J31-$K31)=(R31-S31),Pena2,IF(AND(($J31&gt;$K31),(R31&gt;S31)),Pena3,IF(AND(($J31&lt;$K31),(S31&gt;R31)),Pena3,0)))),0),0),0),IFERROR(IF(AND($F31=N31,$I31=Q31,$G31&lt;&gt;"",$H31&lt;&gt;"",O31&lt;&gt;"",P31&lt;&gt;""),IF(AND($G31=O31,$H31=P31),Quar1,IF(($G31-$H31)=(O31-P31),Quar2,IF(AND(($G31&gt;$H31),(O31&gt;P31)),Quar3,IF(AND(($H31&gt;$G31),(P31&gt;O31)),Quar3,0)))),0),0)+IFERROR(IF(KOPSO=1,IF(AND($F31=N31,$I31=Q31,$J31&lt;&gt;"",$K31&lt;&gt;"",R31&lt;&gt;"",S31&lt;&gt;"",($G31-$H31)=(O31-P31)),IF(AND($J31=R31,$K31=S31),Pena1,IF(($J31-$K31)=(R31-S31),Pena2,IF(AND(($J31&gt;$K31),(R31&gt;S31)),Pena3,IF(AND(($J31&lt;$K31),(S31&gt;R31)),Pena3,0)))),0),0),0))</f>
        <v>0</v>
      </c>
      <c r="V31" s="184"/>
      <c r="W31" s="162">
        <f>IF(U31=Quar1,W30+1,0)</f>
        <v>0</v>
      </c>
      <c r="X31" s="29" t="str">
        <f>AB33</f>
        <v>Match 58 Winner</v>
      </c>
      <c r="Y31" s="13" t="str">
        <f>IF(Z$4&lt;&gt;"",IF(KOMatchRule=1,$F31,IF(AND(Z23&lt;&gt;"",AA23&lt;&gt;""),IF((Z23+AC23)&gt;(AA23+AD23),Y23,IF((Z23+AC23)&lt;(AA23+AD23),AB23,"Match 51 Winner")),"Match 51 Winner")),"")</f>
        <v>Match 51 Winner</v>
      </c>
      <c r="Z31" s="74"/>
      <c r="AA31" s="74"/>
      <c r="AB31" s="15" t="str">
        <f>IF(Z$4&lt;&gt;"",IF(KOMatchRule=1,$I31,IF(AND(Z24&lt;&gt;"",AA24&lt;&gt;""),IF((Z24+AC24)&gt;(AA24+AD24),Y24,IF((Z24+AC24)&lt;(AA24+AD24),AB24,"Match 52 Winner")),"Match 52 Winner")),"")</f>
        <v>Match 52 Winner</v>
      </c>
      <c r="AC31" s="85"/>
      <c r="AD31" s="85"/>
      <c r="AE31" s="14"/>
      <c r="AF31" s="32">
        <f>IF(KOMatchRule=1,IFERROR(IF(AND($G31&lt;&gt;"",$H31&lt;&gt;"",Z31&lt;&gt;"",AA31&lt;&gt;""),IF(AND($G31=Z31,$H31=AA31),Quar1,IF(($G31-$H31)=(Z31-AA31),Quar2,IF(AND(($G31&gt;$H31),(Z31&gt;AA31)),Quar3,IF(AND(($H31&gt;$G31),(AA31&gt;Z31)),Quar3,0)))),0),0)+IFERROR(IF(KOPSO=1,IF(AND($J31&lt;&gt;"",$K31&lt;&gt;"",AC31&lt;&gt;"",AD31&lt;&gt;"",($G31-$H31)=(Z31-AA31)),IF(AND($J31=AC31,$K31=AD31),Pena1,IF(($J31-$K31)=(AC31-AD31),Pena2,IF(AND(($J31&gt;$K31),(AC31&gt;AD31)),Pena3,IF(AND(($J31&lt;$K31),(AD31&gt;AC31)),Pena3,0)))),0),0),0),IFERROR(IF(AND($F31=Y31,$I31=AB31,$G31&lt;&gt;"",$H31&lt;&gt;"",Z31&lt;&gt;"",AA31&lt;&gt;""),IF(AND($G31=Z31,$H31=AA31),Quar1,IF(($G31-$H31)=(Z31-AA31),Quar2,IF(AND(($G31&gt;$H31),(Z31&gt;AA31)),Quar3,IF(AND(($H31&gt;$G31),(AA31&gt;Z31)),Quar3,0)))),0),0)+IFERROR(IF(KOPSO=1,IF(AND($F31=Y31,$I31=AB31,$J31&lt;&gt;"",$K31&lt;&gt;"",AC31&lt;&gt;"",AD31&lt;&gt;"",($G31-$H31)=(Z31-AA31)),IF(AND($J31=AC31,$K31=AD31),Pena1,IF(($J31-$K31)=(AC31-AD31),Pena2,IF(AND(($J31&gt;$K31),(AC31&gt;AD31)),Pena3,IF(AND(($J31&lt;$K31),(AD31&gt;AC31)),Pena3,0)))),0),0),0))</f>
        <v>0</v>
      </c>
      <c r="AG31" s="184"/>
      <c r="AH31" s="162">
        <f>IF(AF31=Quar1,AH30+1,0)</f>
        <v>0</v>
      </c>
      <c r="AI31" s="29" t="str">
        <f t="shared" ref="AI31:AI32" si="63">AM33</f>
        <v>Match 58 Winner</v>
      </c>
      <c r="AJ31" s="13" t="str">
        <f>IF(AK$4&lt;&gt;"",IF(KOMatchRule=1,$F31,IF(AND(AK23&lt;&gt;"",AL23&lt;&gt;""),IF((AK23+AN23)&gt;(AL23+AO23),AJ23,IF((AK23+AN23)&lt;(AL23+AO23),AM23,"Match 51 Winner")),"Match 51 Winner")),"")</f>
        <v>Match 51 Winner</v>
      </c>
      <c r="AK31" s="74"/>
      <c r="AL31" s="74"/>
      <c r="AM31" s="15" t="str">
        <f>IF(AK$4&lt;&gt;"",IF(KOMatchRule=1,$I31,IF(AND(AK24&lt;&gt;"",AL24&lt;&gt;""),IF((AK24+AN24)&gt;(AL24+AO24),AJ24,IF((AK24+AN24)&lt;(AL24+AO24),AM24,"Match 52 Winner")),"Match 52 Winner")),"")</f>
        <v>Match 52 Winner</v>
      </c>
      <c r="AN31" s="85"/>
      <c r="AO31" s="85"/>
      <c r="AP31" s="14"/>
      <c r="AQ31" s="32">
        <f>IF(KOMatchRule=1,IFERROR(IF(AND($G31&lt;&gt;"",$H31&lt;&gt;"",AK31&lt;&gt;"",AL31&lt;&gt;""),IF(AND($G31=AK31,$H31=AL31),Quar1,IF(($G31-$H31)=(AK31-AL31),Quar2,IF(AND(($G31&gt;$H31),(AK31&gt;AL31)),Quar3,IF(AND(($H31&gt;$G31),(AL31&gt;AK31)),Quar3,0)))),0),0)+IFERROR(IF(KOPSO=1,IF(AND($J31&lt;&gt;"",$K31&lt;&gt;"",AN31&lt;&gt;"",AO31&lt;&gt;"",($G31-$H31)=(AK31-AL31)),IF(AND($J31=AN31,$K31=AO31),Pena1,IF(($J31-$K31)=(AN31-AO31),Pena2,IF(AND(($J31&gt;$K31),(AN31&gt;AO31)),Pena3,IF(AND(($J31&lt;$K31),(AO31&gt;AN31)),Pena3,0)))),0),0),0),IFERROR(IF(AND($F31=AJ31,$I31=AM31,$G31&lt;&gt;"",$H31&lt;&gt;"",AK31&lt;&gt;"",AL31&lt;&gt;""),IF(AND($G31=AK31,$H31=AL31),Quar1,IF(($G31-$H31)=(AK31-AL31),Quar2,IF(AND(($G31&gt;$H31),(AK31&gt;AL31)),Quar3,IF(AND(($H31&gt;$G31),(AL31&gt;AK31)),Quar3,0)))),0),0)+IFERROR(IF(KOPSO=1,IF(AND($F31=AJ31,$I31=AM31,$J31&lt;&gt;"",$K31&lt;&gt;"",AN31&lt;&gt;"",AO31&lt;&gt;"",($G31-$H31)=(AK31-AL31)),IF(AND($J31=AN31,$K31=AO31),Pena1,IF(($J31-$K31)=(AN31-AO31),Pena2,IF(AND(($J31&gt;$K31),(AN31&gt;AO31)),Pena3,IF(AND(($J31&lt;$K31),(AO31&gt;AN31)),Pena3,0)))),0),0),0))</f>
        <v>0</v>
      </c>
      <c r="AR31" s="184"/>
      <c r="AS31" s="162">
        <f>IF(AQ31=Quar1,AS30+1,0)</f>
        <v>0</v>
      </c>
      <c r="AT31" s="29" t="str">
        <f t="shared" ref="AT31:AT32" si="64">AX33</f>
        <v>Match 58 Winner</v>
      </c>
      <c r="AU31" s="13" t="str">
        <f>IF(AV$4&lt;&gt;"",IF(KOMatchRule=1,$F31,IF(AND(AV23&lt;&gt;"",AW23&lt;&gt;""),IF((AV23+AY23)&gt;(AW23+AZ23),AU23,IF((AV23+AY23)&lt;(AW23+AZ23),AX23,"Match 51 Winner")),"Match 51 Winner")),"")</f>
        <v>Match 51 Winner</v>
      </c>
      <c r="AV31" s="74"/>
      <c r="AW31" s="74"/>
      <c r="AX31" s="15" t="str">
        <f>IF(AV$4&lt;&gt;"",IF(KOMatchRule=1,$I31,IF(AND(AV24&lt;&gt;"",AW24&lt;&gt;""),IF((AV24+AY24)&gt;(AW24+AZ24),AU24,IF((AV24+AY24)&lt;(AW24+AZ24),AX24,"Match 52 Winner")),"Match 52 Winner")),"")</f>
        <v>Match 52 Winner</v>
      </c>
      <c r="AY31" s="85"/>
      <c r="AZ31" s="85"/>
      <c r="BA31" s="14"/>
      <c r="BB31" s="32">
        <f>IF(KOMatchRule=1,IFERROR(IF(AND($G31&lt;&gt;"",$H31&lt;&gt;"",AV31&lt;&gt;"",AW31&lt;&gt;""),IF(AND($G31=AV31,$H31=AW31),Quar1,IF(($G31-$H31)=(AV31-AW31),Quar2,IF(AND(($G31&gt;$H31),(AV31&gt;AW31)),Quar3,IF(AND(($H31&gt;$G31),(AW31&gt;AV31)),Quar3,0)))),0),0)+IFERROR(IF(KOPSO=1,IF(AND($J31&lt;&gt;"",$K31&lt;&gt;"",AY31&lt;&gt;"",AZ31&lt;&gt;"",($G31-$H31)=(AV31-AW31)),IF(AND($J31=AY31,$K31=AZ31),Pena1,IF(($J31-$K31)=(AY31-AZ31),Pena2,IF(AND(($J31&gt;$K31),(AY31&gt;AZ31)),Pena3,IF(AND(($J31&lt;$K31),(AZ31&gt;AY31)),Pena3,0)))),0),0),0),IFERROR(IF(AND($F31=AU31,$I31=AX31,$G31&lt;&gt;"",$H31&lt;&gt;"",AV31&lt;&gt;"",AW31&lt;&gt;""),IF(AND($G31=AV31,$H31=AW31),Quar1,IF(($G31-$H31)=(AV31-AW31),Quar2,IF(AND(($G31&gt;$H31),(AV31&gt;AW31)),Quar3,IF(AND(($H31&gt;$G31),(AW31&gt;AV31)),Quar3,0)))),0),0)+IFERROR(IF(KOPSO=1,IF(AND($F31=AU31,$I31=AX31,$J31&lt;&gt;"",$K31&lt;&gt;"",AY31&lt;&gt;"",AZ31&lt;&gt;"",($G31-$H31)=(AV31-AW31)),IF(AND($J31=AY31,$K31=AZ31),Pena1,IF(($J31-$K31)=(AY31-AZ31),Pena2,IF(AND(($J31&gt;$K31),(AY31&gt;AZ31)),Pena3,IF(AND(($J31&lt;$K31),(AZ31&gt;AY31)),Pena3,0)))),0),0),0))</f>
        <v>0</v>
      </c>
      <c r="BC31" s="184"/>
      <c r="BD31" s="162">
        <f>IF(BB31=Quar1,BD30+1,0)</f>
        <v>0</v>
      </c>
      <c r="BE31" s="29" t="str">
        <f t="shared" ref="BE31:BE32" si="65">BI33</f>
        <v>Match 58 Winner</v>
      </c>
      <c r="BF31" s="13" t="str">
        <f>IF(BG$4&lt;&gt;"",IF(KOMatchRule=1,$F31,IF(AND(BG23&lt;&gt;"",BH23&lt;&gt;""),IF((BG23+BJ23)&gt;(BH23+BK23),BF23,IF((BG23+BJ23)&lt;(BH23+BK23),BI23,"Match 51 Winner")),"Match 51 Winner")),"")</f>
        <v>Match 51 Winner</v>
      </c>
      <c r="BG31" s="74"/>
      <c r="BH31" s="74"/>
      <c r="BI31" s="15" t="str">
        <f>IF(BG$4&lt;&gt;"",IF(KOMatchRule=1,$I31,IF(AND(BG24&lt;&gt;"",BH24&lt;&gt;""),IF((BG24+BJ24)&gt;(BH24+BK24),BF24,IF((BG24+BJ24)&lt;(BH24+BK24),BI24,"Match 52 Winner")),"Match 52 Winner")),"")</f>
        <v>Match 52 Winner</v>
      </c>
      <c r="BJ31" s="85"/>
      <c r="BK31" s="85"/>
      <c r="BL31" s="14"/>
      <c r="BM31" s="32">
        <f>IF(KOMatchRule=1,IFERROR(IF(AND($G31&lt;&gt;"",$H31&lt;&gt;"",BG31&lt;&gt;"",BH31&lt;&gt;""),IF(AND($G31=BG31,$H31=BH31),Quar1,IF(($G31-$H31)=(BG31-BH31),Quar2,IF(AND(($G31&gt;$H31),(BG31&gt;BH31)),Quar3,IF(AND(($H31&gt;$G31),(BH31&gt;BG31)),Quar3,0)))),0),0)+IFERROR(IF(KOPSO=1,IF(AND($J31&lt;&gt;"",$K31&lt;&gt;"",BJ31&lt;&gt;"",BK31&lt;&gt;"",($G31-$H31)=(BG31-BH31)),IF(AND($J31=BJ31,$K31=BK31),Pena1,IF(($J31-$K31)=(BJ31-BK31),Pena2,IF(AND(($J31&gt;$K31),(BJ31&gt;BK31)),Pena3,IF(AND(($J31&lt;$K31),(BK31&gt;BJ31)),Pena3,0)))),0),0),0),IFERROR(IF(AND($F31=BF31,$I31=BI31,$G31&lt;&gt;"",$H31&lt;&gt;"",BG31&lt;&gt;"",BH31&lt;&gt;""),IF(AND($G31=BG31,$H31=BH31),Quar1,IF(($G31-$H31)=(BG31-BH31),Quar2,IF(AND(($G31&gt;$H31),(BG31&gt;BH31)),Quar3,IF(AND(($H31&gt;$G31),(BH31&gt;BG31)),Quar3,0)))),0),0)+IFERROR(IF(KOPSO=1,IF(AND($F31=BF31,$I31=BI31,$J31&lt;&gt;"",$K31&lt;&gt;"",BJ31&lt;&gt;"",BK31&lt;&gt;"",($G31-$H31)=(BG31-BH31)),IF(AND($J31=BJ31,$K31=BK31),Pena1,IF(($J31-$K31)=(BJ31-BK31),Pena2,IF(AND(($J31&gt;$K31),(BJ31&gt;BK31)),Pena3,IF(AND(($J31&lt;$K31),(BK31&gt;BJ31)),Pena3,0)))),0),0),0))</f>
        <v>0</v>
      </c>
      <c r="BN31" s="184"/>
      <c r="BO31" s="162">
        <f>IF(BM31=Quar1,BO30+1,0)</f>
        <v>0</v>
      </c>
    </row>
    <row r="32" spans="1:67" x14ac:dyDescent="0.3">
      <c r="A32" s="109" t="str">
        <f t="shared" si="59"/>
        <v>Argentina</v>
      </c>
      <c r="B32" s="163" t="str">
        <f>I34</f>
        <v>Match #60 Winner</v>
      </c>
      <c r="C32" s="24">
        <v>60</v>
      </c>
      <c r="D32" s="24" t="s">
        <v>36</v>
      </c>
      <c r="E32" s="25">
        <v>43288</v>
      </c>
      <c r="F32" s="39" t="str">
        <f>IF(AND(G27&lt;&gt;"",H27&lt;&gt;""),IF((G27+J27)&gt;(H27+K27),F27,IF((G27+J27)&lt;(H27+K27),I27,"Match #55 Winner")),"Match #55 Winner")</f>
        <v>Match #55 Winner</v>
      </c>
      <c r="G32" s="77"/>
      <c r="H32" s="77"/>
      <c r="I32" s="40" t="str">
        <f>IF(AND(G28&lt;&gt;"",H28&lt;&gt;""),IF((G28+J28)&gt;(H28+K28),F28,IF((G28+J28)&lt;(H28+K28),I28,"Match #56 Winner")),"Match #56 Winner")</f>
        <v>Match #56 Winner</v>
      </c>
      <c r="J32" s="80"/>
      <c r="K32" s="80"/>
      <c r="L32" s="164">
        <f>IF(G32&lt;&gt;"",1,0)</f>
        <v>0</v>
      </c>
      <c r="M32" s="29" t="str">
        <f>Q34</f>
        <v>Match 60 Winner</v>
      </c>
      <c r="N32" s="41" t="str">
        <f>IF(O$4&lt;&gt;"",IF(KOMatchRule=1,$F32,IF(AND(O27&lt;&gt;"",P27&lt;&gt;""),IF((O27+R27)&gt;(P27+S27),N27,IF((O27+R27)&lt;(P27+S27),Q27,"Match 55 Winner")),"Match 55 Winner")),"")</f>
        <v>Match 55 Winner</v>
      </c>
      <c r="O32" s="82"/>
      <c r="P32" s="82"/>
      <c r="Q32" s="42" t="str">
        <f>IF(O$4&lt;&gt;"",IF(KOMatchRule=1,$I32,IF(AND(O28&lt;&gt;"",P28&lt;&gt;""),IF((O28+R28)&gt;(P28+S28),N28,IF((O28+R28)&lt;(P28+S28),Q28,"Match 56 Winner")),"Match 56 Winner")),"")</f>
        <v>Match 56 Winner</v>
      </c>
      <c r="R32" s="85"/>
      <c r="S32" s="85"/>
      <c r="T32" s="14"/>
      <c r="U32" s="32">
        <f>IF(KOMatchRule=1,IFERROR(IF(AND($G32&lt;&gt;"",$H32&lt;&gt;"",O32&lt;&gt;"",P32&lt;&gt;""),IF(AND($G32=O32,$H32=P32),Quar1,IF(($G32-$H32)=(O32-P32),Quar2,IF(AND(($G32&gt;$H32),(O32&gt;P32)),Quar3,IF(AND(($H32&gt;$G32),(P32&gt;O32)),Quar3,0)))),0),0)+IFERROR(IF(KOPSO=1,IF(AND($J32&lt;&gt;"",$K32&lt;&gt;"",R32&lt;&gt;"",S32&lt;&gt;"",($G32-$H32)=(O32-P32)),IF(AND($J32=R32,$K32=S32),Pena1,IF(($J32-$K32)=(R32-S32),Pena2,IF(AND(($J32&gt;$K32),(R32&gt;S32)),Pena3,IF(AND(($J32&lt;$K32),(S32&gt;R32)),Pena3,0)))),0),0),0),IFERROR(IF(AND($F32=N32,$I32=Q32,$G32&lt;&gt;"",$H32&lt;&gt;"",O32&lt;&gt;"",P32&lt;&gt;""),IF(AND($G32=O32,$H32=P32),Quar1,IF(($G32-$H32)=(O32-P32),Quar2,IF(AND(($G32&gt;$H32),(O32&gt;P32)),Quar3,IF(AND(($H32&gt;$G32),(P32&gt;O32)),Quar3,0)))),0),0)+IFERROR(IF(KOPSO=1,IF(AND($F32=N32,$I32=Q32,$J32&lt;&gt;"",$K32&lt;&gt;"",R32&lt;&gt;"",S32&lt;&gt;"",($G32-$H32)=(O32-P32)),IF(AND($J32=R32,$K32=S32),Pena1,IF(($J32-$K32)=(R32-S32),Pena2,IF(AND(($J32&gt;$K32),(R32&gt;S32)),Pena3,IF(AND(($J32&lt;$K32),(S32&gt;R32)),Pena3,0)))),0),0),0))</f>
        <v>0</v>
      </c>
      <c r="V32" s="184"/>
      <c r="W32" s="162">
        <f>IF(U32=Quar1,W31+1,0)</f>
        <v>0</v>
      </c>
      <c r="X32" s="29" t="str">
        <f>AB34</f>
        <v>Match 60 Winner</v>
      </c>
      <c r="Y32" s="41" t="str">
        <f>IF(Z$4&lt;&gt;"",IF(KOMatchRule=1,$F32,IF(AND(Z27&lt;&gt;"",AA27&lt;&gt;""),IF((Z27+AC27)&gt;(AA27+AD27),Y27,IF((Z27+AC27)&lt;(AA27+AD27),AB27,"Match 55 Winner")),"Match 55 Winner")),"")</f>
        <v>Match 55 Winner</v>
      </c>
      <c r="Z32" s="82"/>
      <c r="AA32" s="82"/>
      <c r="AB32" s="42" t="str">
        <f>IF(Z$4&lt;&gt;"",IF(KOMatchRule=1,$I32,IF(AND(Z28&lt;&gt;"",AA28&lt;&gt;""),IF((Z28+AC28)&gt;(AA28+AD28),Y28,IF((Z28+AC28)&lt;(AA28+AD28),AB28,"Match 56 Winner")),"Match 56 Winner")),"")</f>
        <v>Match 56 Winner</v>
      </c>
      <c r="AC32" s="85"/>
      <c r="AD32" s="85"/>
      <c r="AE32" s="14"/>
      <c r="AF32" s="32">
        <f>IF(KOMatchRule=1,IFERROR(IF(AND($G32&lt;&gt;"",$H32&lt;&gt;"",Z32&lt;&gt;"",AA32&lt;&gt;""),IF(AND($G32=Z32,$H32=AA32),Quar1,IF(($G32-$H32)=(Z32-AA32),Quar2,IF(AND(($G32&gt;$H32),(Z32&gt;AA32)),Quar3,IF(AND(($H32&gt;$G32),(AA32&gt;Z32)),Quar3,0)))),0),0)+IFERROR(IF(KOPSO=1,IF(AND($J32&lt;&gt;"",$K32&lt;&gt;"",AC32&lt;&gt;"",AD32&lt;&gt;"",($G32-$H32)=(Z32-AA32)),IF(AND($J32=AC32,$K32=AD32),Pena1,IF(($J32-$K32)=(AC32-AD32),Pena2,IF(AND(($J32&gt;$K32),(AC32&gt;AD32)),Pena3,IF(AND(($J32&lt;$K32),(AD32&gt;AC32)),Pena3,0)))),0),0),0),IFERROR(IF(AND($F32=Y32,$I32=AB32,$G32&lt;&gt;"",$H32&lt;&gt;"",Z32&lt;&gt;"",AA32&lt;&gt;""),IF(AND($G32=Z32,$H32=AA32),Quar1,IF(($G32-$H32)=(Z32-AA32),Quar2,IF(AND(($G32&gt;$H32),(Z32&gt;AA32)),Quar3,IF(AND(($H32&gt;$G32),(AA32&gt;Z32)),Quar3,0)))),0),0)+IFERROR(IF(KOPSO=1,IF(AND($F32=Y32,$I32=AB32,$J32&lt;&gt;"",$K32&lt;&gt;"",AC32&lt;&gt;"",AD32&lt;&gt;"",($G32-$H32)=(Z32-AA32)),IF(AND($J32=AC32,$K32=AD32),Pena1,IF(($J32-$K32)=(AC32-AD32),Pena2,IF(AND(($J32&gt;$K32),(AC32&gt;AD32)),Pena3,IF(AND(($J32&lt;$K32),(AD32&gt;AC32)),Pena3,0)))),0),0),0))</f>
        <v>0</v>
      </c>
      <c r="AG32" s="184"/>
      <c r="AH32" s="162">
        <f>IF(AF32=Quar1,AH31+1,0)</f>
        <v>0</v>
      </c>
      <c r="AI32" s="29" t="str">
        <f t="shared" si="63"/>
        <v>Match 60 Winner</v>
      </c>
      <c r="AJ32" s="41" t="str">
        <f>IF(AK$4&lt;&gt;"",IF(KOMatchRule=1,$F32,IF(AND(AK27&lt;&gt;"",AL27&lt;&gt;""),IF((AK27+AN27)&gt;(AL27+AO27),AJ27,IF((AK27+AN27)&lt;(AL27+AO27),AM27,"Match 55 Winner")),"Match 55 Winner")),"")</f>
        <v>Match 55 Winner</v>
      </c>
      <c r="AK32" s="82"/>
      <c r="AL32" s="82"/>
      <c r="AM32" s="42" t="str">
        <f>IF(AK$4&lt;&gt;"",IF(KOMatchRule=1,$I32,IF(AND(AK28&lt;&gt;"",AL28&lt;&gt;""),IF((AK28+AN28)&gt;(AL28+AO28),AJ28,IF((AK28+AN28)&lt;(AL28+AO28),AM28,"Match 56 Winner")),"Match 56 Winner")),"")</f>
        <v>Match 56 Winner</v>
      </c>
      <c r="AN32" s="85"/>
      <c r="AO32" s="85"/>
      <c r="AP32" s="14"/>
      <c r="AQ32" s="32">
        <f>IF(KOMatchRule=1,IFERROR(IF(AND($G32&lt;&gt;"",$H32&lt;&gt;"",AK32&lt;&gt;"",AL32&lt;&gt;""),IF(AND($G32=AK32,$H32=AL32),Quar1,IF(($G32-$H32)=(AK32-AL32),Quar2,IF(AND(($G32&gt;$H32),(AK32&gt;AL32)),Quar3,IF(AND(($H32&gt;$G32),(AL32&gt;AK32)),Quar3,0)))),0),0)+IFERROR(IF(KOPSO=1,IF(AND($J32&lt;&gt;"",$K32&lt;&gt;"",AN32&lt;&gt;"",AO32&lt;&gt;"",($G32-$H32)=(AK32-AL32)),IF(AND($J32=AN32,$K32=AO32),Pena1,IF(($J32-$K32)=(AN32-AO32),Pena2,IF(AND(($J32&gt;$K32),(AN32&gt;AO32)),Pena3,IF(AND(($J32&lt;$K32),(AO32&gt;AN32)),Pena3,0)))),0),0),0),IFERROR(IF(AND($F32=AJ32,$I32=AM32,$G32&lt;&gt;"",$H32&lt;&gt;"",AK32&lt;&gt;"",AL32&lt;&gt;""),IF(AND($G32=AK32,$H32=AL32),Quar1,IF(($G32-$H32)=(AK32-AL32),Quar2,IF(AND(($G32&gt;$H32),(AK32&gt;AL32)),Quar3,IF(AND(($H32&gt;$G32),(AL32&gt;AK32)),Quar3,0)))),0),0)+IFERROR(IF(KOPSO=1,IF(AND($F32=AJ32,$I32=AM32,$J32&lt;&gt;"",$K32&lt;&gt;"",AN32&lt;&gt;"",AO32&lt;&gt;"",($G32-$H32)=(AK32-AL32)),IF(AND($J32=AN32,$K32=AO32),Pena1,IF(($J32-$K32)=(AN32-AO32),Pena2,IF(AND(($J32&gt;$K32),(AN32&gt;AO32)),Pena3,IF(AND(($J32&lt;$K32),(AO32&gt;AN32)),Pena3,0)))),0),0),0))</f>
        <v>0</v>
      </c>
      <c r="AR32" s="184"/>
      <c r="AS32" s="162">
        <f>IF(AQ32=Quar1,AS31+1,0)</f>
        <v>0</v>
      </c>
      <c r="AT32" s="29" t="str">
        <f t="shared" si="64"/>
        <v>Match 60 Winner</v>
      </c>
      <c r="AU32" s="41" t="str">
        <f>IF(AV$4&lt;&gt;"",IF(KOMatchRule=1,$F32,IF(AND(AV27&lt;&gt;"",AW27&lt;&gt;""),IF((AV27+AY27)&gt;(AW27+AZ27),AU27,IF((AV27+AY27)&lt;(AW27+AZ27),AX27,"Match 55 Winner")),"Match 55 Winner")),"")</f>
        <v>Match 55 Winner</v>
      </c>
      <c r="AV32" s="82"/>
      <c r="AW32" s="82"/>
      <c r="AX32" s="42" t="str">
        <f>IF(AV$4&lt;&gt;"",IF(KOMatchRule=1,$I32,IF(AND(AV28&lt;&gt;"",AW28&lt;&gt;""),IF((AV28+AY28)&gt;(AW28+AZ28),AU28,IF((AV28+AY28)&lt;(AW28+AZ28),AX28,"Match 56 Winner")),"Match 56 Winner")),"")</f>
        <v>Match 56 Winner</v>
      </c>
      <c r="AY32" s="85"/>
      <c r="AZ32" s="85"/>
      <c r="BA32" s="14"/>
      <c r="BB32" s="32">
        <f>IF(KOMatchRule=1,IFERROR(IF(AND($G32&lt;&gt;"",$H32&lt;&gt;"",AV32&lt;&gt;"",AW32&lt;&gt;""),IF(AND($G32=AV32,$H32=AW32),Quar1,IF(($G32-$H32)=(AV32-AW32),Quar2,IF(AND(($G32&gt;$H32),(AV32&gt;AW32)),Quar3,IF(AND(($H32&gt;$G32),(AW32&gt;AV32)),Quar3,0)))),0),0)+IFERROR(IF(KOPSO=1,IF(AND($J32&lt;&gt;"",$K32&lt;&gt;"",AY32&lt;&gt;"",AZ32&lt;&gt;"",($G32-$H32)=(AV32-AW32)),IF(AND($J32=AY32,$K32=AZ32),Pena1,IF(($J32-$K32)=(AY32-AZ32),Pena2,IF(AND(($J32&gt;$K32),(AY32&gt;AZ32)),Pena3,IF(AND(($J32&lt;$K32),(AZ32&gt;AY32)),Pena3,0)))),0),0),0),IFERROR(IF(AND($F32=AU32,$I32=AX32,$G32&lt;&gt;"",$H32&lt;&gt;"",AV32&lt;&gt;"",AW32&lt;&gt;""),IF(AND($G32=AV32,$H32=AW32),Quar1,IF(($G32-$H32)=(AV32-AW32),Quar2,IF(AND(($G32&gt;$H32),(AV32&gt;AW32)),Quar3,IF(AND(($H32&gt;$G32),(AW32&gt;AV32)),Quar3,0)))),0),0)+IFERROR(IF(KOPSO=1,IF(AND($F32=AU32,$I32=AX32,$J32&lt;&gt;"",$K32&lt;&gt;"",AY32&lt;&gt;"",AZ32&lt;&gt;"",($G32-$H32)=(AV32-AW32)),IF(AND($J32=AY32,$K32=AZ32),Pena1,IF(($J32-$K32)=(AY32-AZ32),Pena2,IF(AND(($J32&gt;$K32),(AY32&gt;AZ32)),Pena3,IF(AND(($J32&lt;$K32),(AZ32&gt;AY32)),Pena3,0)))),0),0),0))</f>
        <v>0</v>
      </c>
      <c r="BC32" s="184"/>
      <c r="BD32" s="162">
        <f>IF(BB32=Quar1,BD31+1,0)</f>
        <v>0</v>
      </c>
      <c r="BE32" s="29" t="str">
        <f t="shared" si="65"/>
        <v>Match 60 Winner</v>
      </c>
      <c r="BF32" s="41" t="str">
        <f>IF(BG$4&lt;&gt;"",IF(KOMatchRule=1,$F32,IF(AND(BG27&lt;&gt;"",BH27&lt;&gt;""),IF((BG27+BJ27)&gt;(BH27+BK27),BF27,IF((BG27+BJ27)&lt;(BH27+BK27),BI27,"Match 55 Winner")),"Match 55 Winner")),"")</f>
        <v>Match 55 Winner</v>
      </c>
      <c r="BG32" s="82"/>
      <c r="BH32" s="82"/>
      <c r="BI32" s="42" t="str">
        <f>IF(BG$4&lt;&gt;"",IF(KOMatchRule=1,$I32,IF(AND(BG28&lt;&gt;"",BH28&lt;&gt;""),IF((BG28+BJ28)&gt;(BH28+BK28),BF28,IF((BG28+BJ28)&lt;(BH28+BK28),BI28,"Match 56 Winner")),"Match 56 Winner")),"")</f>
        <v>Match 56 Winner</v>
      </c>
      <c r="BJ32" s="85"/>
      <c r="BK32" s="85"/>
      <c r="BL32" s="14"/>
      <c r="BM32" s="32">
        <f>IF(KOMatchRule=1,IFERROR(IF(AND($G32&lt;&gt;"",$H32&lt;&gt;"",BG32&lt;&gt;"",BH32&lt;&gt;""),IF(AND($G32=BG32,$H32=BH32),Quar1,IF(($G32-$H32)=(BG32-BH32),Quar2,IF(AND(($G32&gt;$H32),(BG32&gt;BH32)),Quar3,IF(AND(($H32&gt;$G32),(BH32&gt;BG32)),Quar3,0)))),0),0)+IFERROR(IF(KOPSO=1,IF(AND($J32&lt;&gt;"",$K32&lt;&gt;"",BJ32&lt;&gt;"",BK32&lt;&gt;"",($G32-$H32)=(BG32-BH32)),IF(AND($J32=BJ32,$K32=BK32),Pena1,IF(($J32-$K32)=(BJ32-BK32),Pena2,IF(AND(($J32&gt;$K32),(BJ32&gt;BK32)),Pena3,IF(AND(($J32&lt;$K32),(BK32&gt;BJ32)),Pena3,0)))),0),0),0),IFERROR(IF(AND($F32=BF32,$I32=BI32,$G32&lt;&gt;"",$H32&lt;&gt;"",BG32&lt;&gt;"",BH32&lt;&gt;""),IF(AND($G32=BG32,$H32=BH32),Quar1,IF(($G32-$H32)=(BG32-BH32),Quar2,IF(AND(($G32&gt;$H32),(BG32&gt;BH32)),Quar3,IF(AND(($H32&gt;$G32),(BH32&gt;BG32)),Quar3,0)))),0),0)+IFERROR(IF(KOPSO=1,IF(AND($F32=BF32,$I32=BI32,$J32&lt;&gt;"",$K32&lt;&gt;"",BJ32&lt;&gt;"",BK32&lt;&gt;"",($G32-$H32)=(BG32-BH32)),IF(AND($J32=BJ32,$K32=BK32),Pena1,IF(($J32-$K32)=(BJ32-BK32),Pena2,IF(AND(($J32&gt;$K32),(BJ32&gt;BK32)),Pena3,IF(AND(($J32&lt;$K32),(BK32&gt;BJ32)),Pena3,0)))),0),0),0))</f>
        <v>0</v>
      </c>
      <c r="BN32" s="184"/>
      <c r="BO32" s="162">
        <f>IF(BM32=Quar1,BO31+1,0)</f>
        <v>0</v>
      </c>
    </row>
    <row r="33" spans="1:67" x14ac:dyDescent="0.3">
      <c r="A33" s="109" t="str">
        <f t="shared" si="59"/>
        <v>Mexico</v>
      </c>
      <c r="B33" s="163" t="str">
        <f>F36</f>
        <v>Match #61 Winner</v>
      </c>
      <c r="C33" s="24">
        <v>61</v>
      </c>
      <c r="D33" s="24" t="s">
        <v>37</v>
      </c>
      <c r="E33" s="25">
        <v>43291</v>
      </c>
      <c r="F33" s="37" t="str">
        <f>IF(AND(G29&lt;&gt;"",H29&lt;&gt;""),IF((G29+J29)&gt;(H29+K29),F29,IF((G29+J29)&lt;(H29+K29),I29,"Match #57 Winner")),"Match #57 Winner")</f>
        <v>Match #57 Winner</v>
      </c>
      <c r="G33" s="76"/>
      <c r="H33" s="76"/>
      <c r="I33" s="38" t="str">
        <f>IF(AND(G30&lt;&gt;"",H30&lt;&gt;""),IF((G30+J30)&gt;(H30+K30),F30,IF((G30+J30)&lt;(H30+K30),I30,"Match #58 Winner")),"Match #58 Winner")</f>
        <v>Match #58 Winner</v>
      </c>
      <c r="J33" s="80"/>
      <c r="K33" s="80"/>
      <c r="L33" s="164"/>
      <c r="M33" s="29" t="str">
        <f>N36</f>
        <v>Match 61 Winner</v>
      </c>
      <c r="N33" s="13" t="str">
        <f>IF(O$4&lt;&gt;"",IF(KOMatchRule=1,$F33,IF(AND(O29&lt;&gt;"",P29&lt;&gt;""),IF((O29+R29)&gt;(P29+S29),N29,IF((O29+R29)&lt;(P29+S29),Q29,"Match 57 Winner")),"Match 57 Winner")),"")</f>
        <v>Match 57 Winner</v>
      </c>
      <c r="O33" s="83"/>
      <c r="P33" s="83"/>
      <c r="Q33" s="15" t="str">
        <f>IF(O$4&lt;&gt;"",IF(KOMatchRule=1,$I33,IF(AND(O30&lt;&gt;"",P30&lt;&gt;""),IF((O30+R30)&gt;(P30+S30),N30,IF((O30+R30)&lt;(P30+S30),Q30,"Match 58 Winner")),"Match 58 Winner")),"")</f>
        <v>Match 58 Winner</v>
      </c>
      <c r="R33" s="85"/>
      <c r="S33" s="85"/>
      <c r="T33" s="14"/>
      <c r="U33" s="32">
        <f>IF(KOMatchRule=1,IFERROR(IF(AND($G33&lt;&gt;"",$H33&lt;&gt;"",O33&lt;&gt;"",P33&lt;&gt;""),IF(AND($G33=O33,$H33=P33),Semi1,IF(($G33-$H33)=(O33-P33),Semi2,IF(AND(($G33&gt;$H33),(O33&gt;P33)),Semi3,IF(AND(($H33&gt;$G33),(P33&gt;O33)),Semi3,0)))),0),0)+IFERROR(IF(KOPSO=1,IF(AND($J33&lt;&gt;"",$K33&lt;&gt;"",R33&lt;&gt;"",S33&lt;&gt;"",($G33-$H33)=(O33-P33)),IF(AND($J33=R33,$K33=S33),Pena1,IF(($J33-$K33)=(R33-S33),Pena2,IF(AND(($J33&gt;$K33),(R33&gt;S33)),Pena3,IF(AND(($J33&lt;$K33),(S33&gt;R33)),Pena3,0)))),0),0),0),IFERROR(IF(AND($F33=N33,$I33=Q33,$G33&lt;&gt;"",$H33&lt;&gt;"",O33&lt;&gt;"",P33&lt;&gt;""),IF(AND($G33=O33,$H33=P33),Semi1,IF(($G33-$H33)=(O33-P33),Semi2,IF(AND(($G33&gt;$H33),(O33&gt;P33)),Semi3,IF(AND(($H33&gt;$G33),(P33&gt;O33)),Semi3,0)))),0),0)+IFERROR(IF(KOPSO=1,IF(AND($F33=N33,$I33=Q33,$J33&lt;&gt;"",$K33&lt;&gt;"",R33&lt;&gt;"",S33&lt;&gt;"",($G33-$H33)=(O33-P33)),IF(AND($J33=R33,$K33=S33),Pena1,IF(($J33-$K33)=(R33-S33),Pena2,IF(AND(($J33&gt;$K33),(R33&gt;S33)),Pena3,IF(AND(($J33&lt;$K33),(S33&gt;R33)),Pena3,0)))),0),0),0))</f>
        <v>0</v>
      </c>
      <c r="V33" s="184"/>
      <c r="W33" s="162">
        <f>IF(U33=Semi1,W32+1,0)</f>
        <v>0</v>
      </c>
      <c r="X33" s="29" t="str">
        <f>Y36</f>
        <v>Match 61 Winner</v>
      </c>
      <c r="Y33" s="13" t="str">
        <f>IF(Z$4&lt;&gt;"",IF(KOMatchRule=1,$F33,IF(AND(Z29&lt;&gt;"",AA29&lt;&gt;""),IF((Z29+AC29)&gt;(AA29+AD29),Y29,IF((Z29+AC29)&lt;(AA29+AD29),AB29,"Match 57 Winner")),"Match 57 Winner")),"")</f>
        <v>Match 57 Winner</v>
      </c>
      <c r="Z33" s="83"/>
      <c r="AA33" s="83"/>
      <c r="AB33" s="15" t="str">
        <f>IF(Z$4&lt;&gt;"",IF(KOMatchRule=1,$I33,IF(AND(Z30&lt;&gt;"",AA30&lt;&gt;""),IF((Z30+AC30)&gt;(AA30+AD30),Y30,IF((Z30+AC30)&lt;(AA30+AD30),AB30,"Match 58 Winner")),"Match 58 Winner")),"")</f>
        <v>Match 58 Winner</v>
      </c>
      <c r="AC33" s="85"/>
      <c r="AD33" s="85"/>
      <c r="AE33" s="14"/>
      <c r="AF33" s="32">
        <f>IF(KOMatchRule=1,IFERROR(IF(AND($G33&lt;&gt;"",$H33&lt;&gt;"",Z33&lt;&gt;"",AA33&lt;&gt;""),IF(AND($G33=Z33,$H33=AA33),Semi1,IF(($G33-$H33)=(Z33-AA33),Semi2,IF(AND(($G33&gt;$H33),(Z33&gt;AA33)),Semi3,IF(AND(($H33&gt;$G33),(AA33&gt;Z33)),Semi3,0)))),0),0)+IFERROR(IF(KOPSO=1,IF(AND($J33&lt;&gt;"",$K33&lt;&gt;"",AC33&lt;&gt;"",AD33&lt;&gt;"",($G33-$H33)=(Z33-AA33)),IF(AND($J33=AC33,$K33=AD33),Pena1,IF(($J33-$K33)=(AC33-AD33),Pena2,IF(AND(($J33&gt;$K33),(AC33&gt;AD33)),Pena3,IF(AND(($J33&lt;$K33),(AD33&gt;AC33)),Pena3,0)))),0),0),0),IFERROR(IF(AND($F33=Y33,$I33=AB33,$G33&lt;&gt;"",$H33&lt;&gt;"",Z33&lt;&gt;"",AA33&lt;&gt;""),IF(AND($G33=Z33,$H33=AA33),Semi1,IF(($G33-$H33)=(Z33-AA33),Semi2,IF(AND(($G33&gt;$H33),(Z33&gt;AA33)),Semi3,IF(AND(($H33&gt;$G33),(AA33&gt;Z33)),Semi3,0)))),0),0)+IFERROR(IF(KOPSO=1,IF(AND($F33=Y33,$I33=AB33,$J33&lt;&gt;"",$K33&lt;&gt;"",AC33&lt;&gt;"",AD33&lt;&gt;"",($G33-$H33)=(Z33-AA33)),IF(AND($J33=AC33,$K33=AD33),Pena1,IF(($J33-$K33)=(AC33-AD33),Pena2,IF(AND(($J33&gt;$K33),(AC33&gt;AD33)),Pena3,IF(AND(($J33&lt;$K33),(AD33&gt;AC33)),Pena3,0)))),0),0),0))</f>
        <v>0</v>
      </c>
      <c r="AG33" s="184"/>
      <c r="AH33" s="162">
        <f>IF(AF33=Semi1,AH32+1,0)</f>
        <v>0</v>
      </c>
      <c r="AI33" s="29" t="str">
        <f t="shared" ref="AI33" si="66">AJ36</f>
        <v>Match 61 Winner</v>
      </c>
      <c r="AJ33" s="13" t="str">
        <f>IF(AK$4&lt;&gt;"",IF(KOMatchRule=1,$F33,IF(AND(AK29&lt;&gt;"",AL29&lt;&gt;""),IF((AK29+AN29)&gt;(AL29+AO29),AJ29,IF((AK29+AN29)&lt;(AL29+AO29),AM29,"Match 57 Winner")),"Match 57 Winner")),"")</f>
        <v>Match 57 Winner</v>
      </c>
      <c r="AK33" s="83"/>
      <c r="AL33" s="83"/>
      <c r="AM33" s="15" t="str">
        <f>IF(AK$4&lt;&gt;"",IF(KOMatchRule=1,$I33,IF(AND(AK30&lt;&gt;"",AL30&lt;&gt;""),IF((AK30+AN30)&gt;(AL30+AO30),AJ30,IF((AK30+AN30)&lt;(AL30+AO30),AM30,"Match 58 Winner")),"Match 58 Winner")),"")</f>
        <v>Match 58 Winner</v>
      </c>
      <c r="AN33" s="85"/>
      <c r="AO33" s="85"/>
      <c r="AP33" s="14"/>
      <c r="AQ33" s="32">
        <f>IF(KOMatchRule=1,IFERROR(IF(AND($G33&lt;&gt;"",$H33&lt;&gt;"",AK33&lt;&gt;"",AL33&lt;&gt;""),IF(AND($G33=AK33,$H33=AL33),Semi1,IF(($G33-$H33)=(AK33-AL33),Semi2,IF(AND(($G33&gt;$H33),(AK33&gt;AL33)),Semi3,IF(AND(($H33&gt;$G33),(AL33&gt;AK33)),Semi3,0)))),0),0)+IFERROR(IF(KOPSO=1,IF(AND($J33&lt;&gt;"",$K33&lt;&gt;"",AN33&lt;&gt;"",AO33&lt;&gt;"",($G33-$H33)=(AK33-AL33)),IF(AND($J33=AN33,$K33=AO33),Pena1,IF(($J33-$K33)=(AN33-AO33),Pena2,IF(AND(($J33&gt;$K33),(AN33&gt;AO33)),Pena3,IF(AND(($J33&lt;$K33),(AO33&gt;AN33)),Pena3,0)))),0),0),0),IFERROR(IF(AND($F33=AJ33,$I33=AM33,$G33&lt;&gt;"",$H33&lt;&gt;"",AK33&lt;&gt;"",AL33&lt;&gt;""),IF(AND($G33=AK33,$H33=AL33),Semi1,IF(($G33-$H33)=(AK33-AL33),Semi2,IF(AND(($G33&gt;$H33),(AK33&gt;AL33)),Semi3,IF(AND(($H33&gt;$G33),(AL33&gt;AK33)),Semi3,0)))),0),0)+IFERROR(IF(KOPSO=1,IF(AND($F33=AJ33,$I33=AM33,$J33&lt;&gt;"",$K33&lt;&gt;"",AN33&lt;&gt;"",AO33&lt;&gt;"",($G33-$H33)=(AK33-AL33)),IF(AND($J33=AN33,$K33=AO33),Pena1,IF(($J33-$K33)=(AN33-AO33),Pena2,IF(AND(($J33&gt;$K33),(AN33&gt;AO33)),Pena3,IF(AND(($J33&lt;$K33),(AO33&gt;AN33)),Pena3,0)))),0),0),0))</f>
        <v>0</v>
      </c>
      <c r="AR33" s="184"/>
      <c r="AS33" s="162">
        <f>IF(AQ33=Semi1,AS32+1,0)</f>
        <v>0</v>
      </c>
      <c r="AT33" s="29" t="str">
        <f t="shared" ref="AT33" si="67">AU36</f>
        <v>Match 61 Winner</v>
      </c>
      <c r="AU33" s="13" t="str">
        <f>IF(AV$4&lt;&gt;"",IF(KOMatchRule=1,$F33,IF(AND(AV29&lt;&gt;"",AW29&lt;&gt;""),IF((AV29+AY29)&gt;(AW29+AZ29),AU29,IF((AV29+AY29)&lt;(AW29+AZ29),AX29,"Match 57 Winner")),"Match 57 Winner")),"")</f>
        <v>Match 57 Winner</v>
      </c>
      <c r="AV33" s="83"/>
      <c r="AW33" s="83"/>
      <c r="AX33" s="15" t="str">
        <f>IF(AV$4&lt;&gt;"",IF(KOMatchRule=1,$I33,IF(AND(AV30&lt;&gt;"",AW30&lt;&gt;""),IF((AV30+AY30)&gt;(AW30+AZ30),AU30,IF((AV30+AY30)&lt;(AW30+AZ30),AX30,"Match 58 Winner")),"Match 58 Winner")),"")</f>
        <v>Match 58 Winner</v>
      </c>
      <c r="AY33" s="85"/>
      <c r="AZ33" s="85"/>
      <c r="BA33" s="14"/>
      <c r="BB33" s="32">
        <f>IF(KOMatchRule=1,IFERROR(IF(AND($G33&lt;&gt;"",$H33&lt;&gt;"",AV33&lt;&gt;"",AW33&lt;&gt;""),IF(AND($G33=AV33,$H33=AW33),Semi1,IF(($G33-$H33)=(AV33-AW33),Semi2,IF(AND(($G33&gt;$H33),(AV33&gt;AW33)),Semi3,IF(AND(($H33&gt;$G33),(AW33&gt;AV33)),Semi3,0)))),0),0)+IFERROR(IF(KOPSO=1,IF(AND($J33&lt;&gt;"",$K33&lt;&gt;"",AY33&lt;&gt;"",AZ33&lt;&gt;"",($G33-$H33)=(AV33-AW33)),IF(AND($J33=AY33,$K33=AZ33),Pena1,IF(($J33-$K33)=(AY33-AZ33),Pena2,IF(AND(($J33&gt;$K33),(AY33&gt;AZ33)),Pena3,IF(AND(($J33&lt;$K33),(AZ33&gt;AY33)),Pena3,0)))),0),0),0),IFERROR(IF(AND($F33=AU33,$I33=AX33,$G33&lt;&gt;"",$H33&lt;&gt;"",AV33&lt;&gt;"",AW33&lt;&gt;""),IF(AND($G33=AV33,$H33=AW33),Semi1,IF(($G33-$H33)=(AV33-AW33),Semi2,IF(AND(($G33&gt;$H33),(AV33&gt;AW33)),Semi3,IF(AND(($H33&gt;$G33),(AW33&gt;AV33)),Semi3,0)))),0),0)+IFERROR(IF(KOPSO=1,IF(AND($F33=AU33,$I33=AX33,$J33&lt;&gt;"",$K33&lt;&gt;"",AY33&lt;&gt;"",AZ33&lt;&gt;"",($G33-$H33)=(AV33-AW33)),IF(AND($J33=AY33,$K33=AZ33),Pena1,IF(($J33-$K33)=(AY33-AZ33),Pena2,IF(AND(($J33&gt;$K33),(AY33&gt;AZ33)),Pena3,IF(AND(($J33&lt;$K33),(AZ33&gt;AY33)),Pena3,0)))),0),0),0))</f>
        <v>0</v>
      </c>
      <c r="BC33" s="184"/>
      <c r="BD33" s="162">
        <f>IF(BB33=Semi1,BD32+1,0)</f>
        <v>0</v>
      </c>
      <c r="BE33" s="29" t="str">
        <f t="shared" ref="BE33" si="68">BF36</f>
        <v>Match 61 Winner</v>
      </c>
      <c r="BF33" s="13" t="str">
        <f>IF(BG$4&lt;&gt;"",IF(KOMatchRule=1,$F33,IF(AND(BG29&lt;&gt;"",BH29&lt;&gt;""),IF((BG29+BJ29)&gt;(BH29+BK29),BF29,IF((BG29+BJ29)&lt;(BH29+BK29),BI29,"Match 57 Winner")),"Match 57 Winner")),"")</f>
        <v>Match 57 Winner</v>
      </c>
      <c r="BG33" s="83"/>
      <c r="BH33" s="83"/>
      <c r="BI33" s="15" t="str">
        <f>IF(BG$4&lt;&gt;"",IF(KOMatchRule=1,$I33,IF(AND(BG30&lt;&gt;"",BH30&lt;&gt;""),IF((BG30+BJ30)&gt;(BH30+BK30),BF30,IF((BG30+BJ30)&lt;(BH30+BK30),BI30,"Match 58 Winner")),"Match 58 Winner")),"")</f>
        <v>Match 58 Winner</v>
      </c>
      <c r="BJ33" s="85"/>
      <c r="BK33" s="85"/>
      <c r="BL33" s="14"/>
      <c r="BM33" s="32">
        <f>IF(KOMatchRule=1,IFERROR(IF(AND($G33&lt;&gt;"",$H33&lt;&gt;"",BG33&lt;&gt;"",BH33&lt;&gt;""),IF(AND($G33=BG33,$H33=BH33),Semi1,IF(($G33-$H33)=(BG33-BH33),Semi2,IF(AND(($G33&gt;$H33),(BG33&gt;BH33)),Semi3,IF(AND(($H33&gt;$G33),(BH33&gt;BG33)),Semi3,0)))),0),0)+IFERROR(IF(KOPSO=1,IF(AND($J33&lt;&gt;"",$K33&lt;&gt;"",BJ33&lt;&gt;"",BK33&lt;&gt;"",($G33-$H33)=(BG33-BH33)),IF(AND($J33=BJ33,$K33=BK33),Pena1,IF(($J33-$K33)=(BJ33-BK33),Pena2,IF(AND(($J33&gt;$K33),(BJ33&gt;BK33)),Pena3,IF(AND(($J33&lt;$K33),(BK33&gt;BJ33)),Pena3,0)))),0),0),0),IFERROR(IF(AND($F33=BF33,$I33=BI33,$G33&lt;&gt;"",$H33&lt;&gt;"",BG33&lt;&gt;"",BH33&lt;&gt;""),IF(AND($G33=BG33,$H33=BH33),Semi1,IF(($G33-$H33)=(BG33-BH33),Semi2,IF(AND(($G33&gt;$H33),(BG33&gt;BH33)),Semi3,IF(AND(($H33&gt;$G33),(BH33&gt;BG33)),Semi3,0)))),0),0)+IFERROR(IF(KOPSO=1,IF(AND($F33=BF33,$I33=BI33,$J33&lt;&gt;"",$K33&lt;&gt;"",BJ33&lt;&gt;"",BK33&lt;&gt;"",($G33-$H33)=(BG33-BH33)),IF(AND($J33=BJ33,$K33=BK33),Pena1,IF(($J33-$K33)=(BJ33-BK33),Pena2,IF(AND(($J33&gt;$K33),(BJ33&gt;BK33)),Pena3,IF(AND(($J33&lt;$K33),(BK33&gt;BJ33)),Pena3,0)))),0),0),0))</f>
        <v>0</v>
      </c>
      <c r="BN33" s="184"/>
      <c r="BO33" s="162">
        <f>IF(BM33=Semi1,BO32+1,0)</f>
        <v>0</v>
      </c>
    </row>
    <row r="34" spans="1:67" x14ac:dyDescent="0.3">
      <c r="A34" s="109" t="str">
        <f t="shared" si="59"/>
        <v>F Runner Up</v>
      </c>
      <c r="B34" s="163" t="str">
        <f>I36</f>
        <v>Match #62 Winner</v>
      </c>
      <c r="C34" s="24">
        <v>62</v>
      </c>
      <c r="D34" s="24" t="s">
        <v>37</v>
      </c>
      <c r="E34" s="25">
        <v>43292</v>
      </c>
      <c r="F34" s="39" t="str">
        <f>IF(AND(G31&lt;&gt;"",H31&lt;&gt;""),IF((G31+J31)&gt;(H31+K31),F31,IF((G31+J31)&lt;(H31+K31),I31,"Match #59 Winner")),"Match #59 Winner")</f>
        <v>Match #59 Winner</v>
      </c>
      <c r="G34" s="77"/>
      <c r="H34" s="77"/>
      <c r="I34" s="40" t="str">
        <f>IF(AND(G32&lt;&gt;"",H32&lt;&gt;""),IF((G32+J32)&gt;(H32+K32),F32,IF((G32+J32)&lt;(H32+K32),I32,"Match #60 Winner")),"Match #60 Winner")</f>
        <v>Match #60 Winner</v>
      </c>
      <c r="J34" s="80"/>
      <c r="K34" s="80"/>
      <c r="L34" s="164">
        <f>IF(G34&lt;&gt;"",1,0)</f>
        <v>0</v>
      </c>
      <c r="M34" s="29" t="str">
        <f>Q36</f>
        <v>Match 62 Winner</v>
      </c>
      <c r="N34" s="13" t="str">
        <f>IF(O$4&lt;&gt;"",IF(KOMatchRule=1,$F34,IF(AND(O31&lt;&gt;"",P31&lt;&gt;""),IF((O31+R31)&gt;(P31+S31),N31,IF((O31+R31)&lt;(P31+S31),Q31,"Match 59 Winner")),"Match 59 Winner")),"")</f>
        <v>Match 59 Winner</v>
      </c>
      <c r="O34" s="75"/>
      <c r="P34" s="75"/>
      <c r="Q34" s="15" t="str">
        <f>IF(O$4&lt;&gt;"",IF(KOMatchRule=1,$I34,IF(AND(O32&lt;&gt;"",P32&lt;&gt;""),IF((O32+R32)&gt;(P32+S32),N32,IF((O32+R32)&lt;(P32+S32),Q32,"Match 60 Winner")),"Match 60 Winner")),"")</f>
        <v>Match 60 Winner</v>
      </c>
      <c r="R34" s="85"/>
      <c r="S34" s="85"/>
      <c r="T34" s="14"/>
      <c r="U34" s="32">
        <f>IF(KOMatchRule=1,IFERROR(IF(AND($G34&lt;&gt;"",$H34&lt;&gt;"",O34&lt;&gt;"",P34&lt;&gt;""),IF(AND($G34=O34,$H34=P34),Semi1,IF(($G34-$H34)=(O34-P34),Semi2,IF(AND(($G34&gt;$H34),(O34&gt;P34)),Semi3,IF(AND(($H34&gt;$G34),(P34&gt;O34)),Semi3,0)))),0),0)+IFERROR(IF(KOPSO=1,IF(AND($J34&lt;&gt;"",$K34&lt;&gt;"",R34&lt;&gt;"",S34&lt;&gt;"",($G34-$H34)=(O34-P34)),IF(AND($J34=R34,$K34=S34),Pena1,IF(($J34-$K34)=(R34-S34),Pena2,IF(AND(($J34&gt;$K34),(R34&gt;S34)),Pena3,IF(AND(($J34&lt;$K34),(S34&gt;R34)),Pena3,0)))),0),0),0),IFERROR(IF(AND($F34=N34,$I34=Q34,$G34&lt;&gt;"",$H34&lt;&gt;"",O34&lt;&gt;"",P34&lt;&gt;""),IF(AND($G34=O34,$H34=P34),Semi1,IF(($G34-$H34)=(O34-P34),Semi2,IF(AND(($G34&gt;$H34),(O34&gt;P34)),Semi3,IF(AND(($H34&gt;$G34),(P34&gt;O34)),Semi3,0)))),0),0)+IFERROR(IF(KOPSO=1,IF(AND($F34=N34,$I34=Q34,$J34&lt;&gt;"",$K34&lt;&gt;"",R34&lt;&gt;"",S34&lt;&gt;"",($G34-$H34)=(O34-P34)),IF(AND($J34=R34,$K34=S34),Pena1,IF(($J34-$K34)=(R34-S34),Pena2,IF(AND(($J34&gt;$K34),(R34&gt;S34)),Pena3,IF(AND(($J34&lt;$K34),(S34&gt;R34)),Pena3,0)))),0),0),0))</f>
        <v>0</v>
      </c>
      <c r="V34" s="184"/>
      <c r="W34" s="162">
        <f>IF(U34=Semi1,W33+1,0)</f>
        <v>0</v>
      </c>
      <c r="X34" s="29" t="str">
        <f>AB36</f>
        <v>Match 62 Winner</v>
      </c>
      <c r="Y34" s="13" t="str">
        <f>IF(Z$4&lt;&gt;"",IF(KOMatchRule=1,$F34,IF(AND(Z31&lt;&gt;"",AA31&lt;&gt;""),IF((Z31+AC31)&gt;(AA31+AD31),Y31,IF((Z31+AC31)&lt;(AA31+AD31),AB31,"Match 59 Winner")),"Match 59 Winner")),"")</f>
        <v>Match 59 Winner</v>
      </c>
      <c r="Z34" s="75"/>
      <c r="AA34" s="75"/>
      <c r="AB34" s="15" t="str">
        <f>IF(Z$4&lt;&gt;"",IF(KOMatchRule=1,$I34,IF(AND(Z32&lt;&gt;"",AA32&lt;&gt;""),IF((Z32+AC32)&gt;(AA32+AD32),Y32,IF((Z32+AC32)&lt;(AA32+AD32),AB32,"Match 60 Winner")),"Match 60 Winner")),"")</f>
        <v>Match 60 Winner</v>
      </c>
      <c r="AC34" s="85"/>
      <c r="AD34" s="85"/>
      <c r="AE34" s="14"/>
      <c r="AF34" s="32">
        <f>IF(KOMatchRule=1,IFERROR(IF(AND($G34&lt;&gt;"",$H34&lt;&gt;"",Z34&lt;&gt;"",AA34&lt;&gt;""),IF(AND($G34=Z34,$H34=AA34),Semi1,IF(($G34-$H34)=(Z34-AA34),Semi2,IF(AND(($G34&gt;$H34),(Z34&gt;AA34)),Semi3,IF(AND(($H34&gt;$G34),(AA34&gt;Z34)),Semi3,0)))),0),0)+IFERROR(IF(KOPSO=1,IF(AND($J34&lt;&gt;"",$K34&lt;&gt;"",AC34&lt;&gt;"",AD34&lt;&gt;"",($G34-$H34)=(Z34-AA34)),IF(AND($J34=AC34,$K34=AD34),Pena1,IF(($J34-$K34)=(AC34-AD34),Pena2,IF(AND(($J34&gt;$K34),(AC34&gt;AD34)),Pena3,IF(AND(($J34&lt;$K34),(AD34&gt;AC34)),Pena3,0)))),0),0),0),IFERROR(IF(AND($F34=Y34,$I34=AB34,$G34&lt;&gt;"",$H34&lt;&gt;"",Z34&lt;&gt;"",AA34&lt;&gt;""),IF(AND($G34=Z34,$H34=AA34),Semi1,IF(($G34-$H34)=(Z34-AA34),Semi2,IF(AND(($G34&gt;$H34),(Z34&gt;AA34)),Semi3,IF(AND(($H34&gt;$G34),(AA34&gt;Z34)),Semi3,0)))),0),0)+IFERROR(IF(KOPSO=1,IF(AND($F34=Y34,$I34=AB34,$J34&lt;&gt;"",$K34&lt;&gt;"",AC34&lt;&gt;"",AD34&lt;&gt;"",($G34-$H34)=(Z34-AA34)),IF(AND($J34=AC34,$K34=AD34),Pena1,IF(($J34-$K34)=(AC34-AD34),Pena2,IF(AND(($J34&gt;$K34),(AC34&gt;AD34)),Pena3,IF(AND(($J34&lt;$K34),(AD34&gt;AC34)),Pena3,0)))),0),0),0))</f>
        <v>0</v>
      </c>
      <c r="AG34" s="184"/>
      <c r="AH34" s="162">
        <f>IF(AF34=Semi1,AH33+1,0)</f>
        <v>0</v>
      </c>
      <c r="AI34" s="29" t="str">
        <f t="shared" ref="AI34" si="69">AM36</f>
        <v>Match 62 Winner</v>
      </c>
      <c r="AJ34" s="13" t="str">
        <f>IF(AK$4&lt;&gt;"",IF(KOMatchRule=1,$F34,IF(AND(AK31&lt;&gt;"",AL31&lt;&gt;""),IF((AK31+AN31)&gt;(AL31+AO31),AJ31,IF((AK31+AN31)&lt;(AL31+AO31),AM31,"Match 59 Winner")),"Match 59 Winner")),"")</f>
        <v>Match 59 Winner</v>
      </c>
      <c r="AK34" s="75"/>
      <c r="AL34" s="75"/>
      <c r="AM34" s="15" t="str">
        <f>IF(AK$4&lt;&gt;"",IF(KOMatchRule=1,$I34,IF(AND(AK32&lt;&gt;"",AL32&lt;&gt;""),IF((AK32+AN32)&gt;(AL32+AO32),AJ32,IF((AK32+AN32)&lt;(AL32+AO32),AM32,"Match 60 Winner")),"Match 60 Winner")),"")</f>
        <v>Match 60 Winner</v>
      </c>
      <c r="AN34" s="85"/>
      <c r="AO34" s="85"/>
      <c r="AP34" s="14"/>
      <c r="AQ34" s="32">
        <f>IF(KOMatchRule=1,IFERROR(IF(AND($G34&lt;&gt;"",$H34&lt;&gt;"",AK34&lt;&gt;"",AL34&lt;&gt;""),IF(AND($G34=AK34,$H34=AL34),Semi1,IF(($G34-$H34)=(AK34-AL34),Semi2,IF(AND(($G34&gt;$H34),(AK34&gt;AL34)),Semi3,IF(AND(($H34&gt;$G34),(AL34&gt;AK34)),Semi3,0)))),0),0)+IFERROR(IF(KOPSO=1,IF(AND($J34&lt;&gt;"",$K34&lt;&gt;"",AN34&lt;&gt;"",AO34&lt;&gt;"",($G34-$H34)=(AK34-AL34)),IF(AND($J34=AN34,$K34=AO34),Pena1,IF(($J34-$K34)=(AN34-AO34),Pena2,IF(AND(($J34&gt;$K34),(AN34&gt;AO34)),Pena3,IF(AND(($J34&lt;$K34),(AO34&gt;AN34)),Pena3,0)))),0),0),0),IFERROR(IF(AND($F34=AJ34,$I34=AM34,$G34&lt;&gt;"",$H34&lt;&gt;"",AK34&lt;&gt;"",AL34&lt;&gt;""),IF(AND($G34=AK34,$H34=AL34),Semi1,IF(($G34-$H34)=(AK34-AL34),Semi2,IF(AND(($G34&gt;$H34),(AK34&gt;AL34)),Semi3,IF(AND(($H34&gt;$G34),(AL34&gt;AK34)),Semi3,0)))),0),0)+IFERROR(IF(KOPSO=1,IF(AND($F34=AJ34,$I34=AM34,$J34&lt;&gt;"",$K34&lt;&gt;"",AN34&lt;&gt;"",AO34&lt;&gt;"",($G34-$H34)=(AK34-AL34)),IF(AND($J34=AN34,$K34=AO34),Pena1,IF(($J34-$K34)=(AN34-AO34),Pena2,IF(AND(($J34&gt;$K34),(AN34&gt;AO34)),Pena3,IF(AND(($J34&lt;$K34),(AO34&gt;AN34)),Pena3,0)))),0),0),0))</f>
        <v>0</v>
      </c>
      <c r="AR34" s="184"/>
      <c r="AS34" s="162">
        <f>IF(AQ34=Semi1,AS33+1,0)</f>
        <v>0</v>
      </c>
      <c r="AT34" s="29" t="str">
        <f t="shared" ref="AT34" si="70">AX36</f>
        <v>Match 62 Winner</v>
      </c>
      <c r="AU34" s="13" t="str">
        <f>IF(AV$4&lt;&gt;"",IF(KOMatchRule=1,$F34,IF(AND(AV31&lt;&gt;"",AW31&lt;&gt;""),IF((AV31+AY31)&gt;(AW31+AZ31),AU31,IF((AV31+AY31)&lt;(AW31+AZ31),AX31,"Match 59 Winner")),"Match 59 Winner")),"")</f>
        <v>Match 59 Winner</v>
      </c>
      <c r="AV34" s="75"/>
      <c r="AW34" s="75"/>
      <c r="AX34" s="15" t="str">
        <f>IF(AV$4&lt;&gt;"",IF(KOMatchRule=1,$I34,IF(AND(AV32&lt;&gt;"",AW32&lt;&gt;""),IF((AV32+AY32)&gt;(AW32+AZ32),AU32,IF((AV32+AY32)&lt;(AW32+AZ32),AX32,"Match 60 Winner")),"Match 60 Winner")),"")</f>
        <v>Match 60 Winner</v>
      </c>
      <c r="AY34" s="85"/>
      <c r="AZ34" s="85"/>
      <c r="BA34" s="14"/>
      <c r="BB34" s="32">
        <f>IF(KOMatchRule=1,IFERROR(IF(AND($G34&lt;&gt;"",$H34&lt;&gt;"",AV34&lt;&gt;"",AW34&lt;&gt;""),IF(AND($G34=AV34,$H34=AW34),Semi1,IF(($G34-$H34)=(AV34-AW34),Semi2,IF(AND(($G34&gt;$H34),(AV34&gt;AW34)),Semi3,IF(AND(($H34&gt;$G34),(AW34&gt;AV34)),Semi3,0)))),0),0)+IFERROR(IF(KOPSO=1,IF(AND($J34&lt;&gt;"",$K34&lt;&gt;"",AY34&lt;&gt;"",AZ34&lt;&gt;"",($G34-$H34)=(AV34-AW34)),IF(AND($J34=AY34,$K34=AZ34),Pena1,IF(($J34-$K34)=(AY34-AZ34),Pena2,IF(AND(($J34&gt;$K34),(AY34&gt;AZ34)),Pena3,IF(AND(($J34&lt;$K34),(AZ34&gt;AY34)),Pena3,0)))),0),0),0),IFERROR(IF(AND($F34=AU34,$I34=AX34,$G34&lt;&gt;"",$H34&lt;&gt;"",AV34&lt;&gt;"",AW34&lt;&gt;""),IF(AND($G34=AV34,$H34=AW34),Semi1,IF(($G34-$H34)=(AV34-AW34),Semi2,IF(AND(($G34&gt;$H34),(AV34&gt;AW34)),Semi3,IF(AND(($H34&gt;$G34),(AW34&gt;AV34)),Semi3,0)))),0),0)+IFERROR(IF(KOPSO=1,IF(AND($F34=AU34,$I34=AX34,$J34&lt;&gt;"",$K34&lt;&gt;"",AY34&lt;&gt;"",AZ34&lt;&gt;"",($G34-$H34)=(AV34-AW34)),IF(AND($J34=AY34,$K34=AZ34),Pena1,IF(($J34-$K34)=(AY34-AZ34),Pena2,IF(AND(($J34&gt;$K34),(AY34&gt;AZ34)),Pena3,IF(AND(($J34&lt;$K34),(AZ34&gt;AY34)),Pena3,0)))),0),0),0))</f>
        <v>0</v>
      </c>
      <c r="BC34" s="184"/>
      <c r="BD34" s="162">
        <f>IF(BB34=Semi1,BD33+1,0)</f>
        <v>0</v>
      </c>
      <c r="BE34" s="29" t="str">
        <f t="shared" ref="BE34" si="71">BI36</f>
        <v>Match 62 Winner</v>
      </c>
      <c r="BF34" s="13" t="str">
        <f>IF(BG$4&lt;&gt;"",IF(KOMatchRule=1,$F34,IF(AND(BG31&lt;&gt;"",BH31&lt;&gt;""),IF((BG31+BJ31)&gt;(BH31+BK31),BF31,IF((BG31+BJ31)&lt;(BH31+BK31),BI31,"Match 59 Winner")),"Match 59 Winner")),"")</f>
        <v>Match 59 Winner</v>
      </c>
      <c r="BG34" s="75"/>
      <c r="BH34" s="75"/>
      <c r="BI34" s="15" t="str">
        <f>IF(BG$4&lt;&gt;"",IF(KOMatchRule=1,$I34,IF(AND(BG32&lt;&gt;"",BH32&lt;&gt;""),IF((BG32+BJ32)&gt;(BH32+BK32),BF32,IF((BG32+BJ32)&lt;(BH32+BK32),BI32,"Match 60 Winner")),"Match 60 Winner")),"")</f>
        <v>Match 60 Winner</v>
      </c>
      <c r="BJ34" s="85"/>
      <c r="BK34" s="85"/>
      <c r="BL34" s="14"/>
      <c r="BM34" s="32">
        <f>IF(KOMatchRule=1,IFERROR(IF(AND($G34&lt;&gt;"",$H34&lt;&gt;"",BG34&lt;&gt;"",BH34&lt;&gt;""),IF(AND($G34=BG34,$H34=BH34),Semi1,IF(($G34-$H34)=(BG34-BH34),Semi2,IF(AND(($G34&gt;$H34),(BG34&gt;BH34)),Semi3,IF(AND(($H34&gt;$G34),(BH34&gt;BG34)),Semi3,0)))),0),0)+IFERROR(IF(KOPSO=1,IF(AND($J34&lt;&gt;"",$K34&lt;&gt;"",BJ34&lt;&gt;"",BK34&lt;&gt;"",($G34-$H34)=(BG34-BH34)),IF(AND($J34=BJ34,$K34=BK34),Pena1,IF(($J34-$K34)=(BJ34-BK34),Pena2,IF(AND(($J34&gt;$K34),(BJ34&gt;BK34)),Pena3,IF(AND(($J34&lt;$K34),(BK34&gt;BJ34)),Pena3,0)))),0),0),0),IFERROR(IF(AND($F34=BF34,$I34=BI34,$G34&lt;&gt;"",$H34&lt;&gt;"",BG34&lt;&gt;"",BH34&lt;&gt;""),IF(AND($G34=BG34,$H34=BH34),Semi1,IF(($G34-$H34)=(BG34-BH34),Semi2,IF(AND(($G34&gt;$H34),(BG34&gt;BH34)),Semi3,IF(AND(($H34&gt;$G34),(BH34&gt;BG34)),Semi3,0)))),0),0)+IFERROR(IF(KOPSO=1,IF(AND($F34=BF34,$I34=BI34,$J34&lt;&gt;"",$K34&lt;&gt;"",BJ34&lt;&gt;"",BK34&lt;&gt;"",($G34-$H34)=(BG34-BH34)),IF(AND($J34=BJ34,$K34=BK34),Pena1,IF(($J34-$K34)=(BJ34-BK34),Pena2,IF(AND(($J34&gt;$K34),(BJ34&gt;BK34)),Pena3,IF(AND(($J34&lt;$K34),(BK34&gt;BJ34)),Pena3,0)))),0),0),0))</f>
        <v>0</v>
      </c>
      <c r="BN34" s="184"/>
      <c r="BO34" s="162">
        <f>IF(BM34=Semi1,BO33+1,0)</f>
        <v>0</v>
      </c>
    </row>
    <row r="35" spans="1:67" x14ac:dyDescent="0.3">
      <c r="A35" s="109" t="str">
        <f t="shared" si="59"/>
        <v>G Runner Up</v>
      </c>
      <c r="B35" s="163" t="s">
        <v>149</v>
      </c>
      <c r="C35" s="24">
        <v>63</v>
      </c>
      <c r="D35" s="24" t="s">
        <v>38</v>
      </c>
      <c r="E35" s="25">
        <v>43295</v>
      </c>
      <c r="F35" s="26" t="str">
        <f>IF(AND(G33&lt;&gt;"",H33&lt;&gt;""),IF((G33+J33)&lt;(H33+K33),F33,IF((G33+J33)&gt;(H33+K33),I33,"Match #61 Loser")),"Match #61 Loser")</f>
        <v>Match #61 Loser</v>
      </c>
      <c r="G35" s="78"/>
      <c r="H35" s="78"/>
      <c r="I35" s="28" t="str">
        <f>IF(AND(G34&lt;&gt;"",H34&lt;&gt;""),IF((G34+J34)&lt;(H34+K34),F34,IF((G34+J34)&gt;(H34+K34),I34,"Match #62 Loser")),"Match #62 Loser")</f>
        <v>Match #62 Loser</v>
      </c>
      <c r="J35" s="80"/>
      <c r="K35" s="80"/>
      <c r="L35" s="164"/>
      <c r="M35" s="29"/>
      <c r="N35" s="43" t="str">
        <f>IF(O$4&lt;&gt;"",IF(KOMatchRule=1,$F35,IF(AND(O33&lt;&gt;"",P33&lt;&gt;""),IF((O33+R33)&lt;(P33+S33),N33,IF((O33+R33)&gt;(P33+S33),Q33,"Match 61 Loser")),"Match 61 Loser")),"")</f>
        <v>Match 61 Loser</v>
      </c>
      <c r="O35" s="84"/>
      <c r="P35" s="84"/>
      <c r="Q35" s="44" t="str">
        <f>IF(O$4&lt;&gt;"",IF(KOMatchRule=1,$I35,IF(AND(O34&lt;&gt;"",P34&lt;&gt;""),IF((O34+R34)&lt;(P34+S34),N34,IF((O34+R34)&gt;(P34+S34),Q34,"Match 62 Loser")),"Match 62 Loser")),"")</f>
        <v>Match 62 Loser</v>
      </c>
      <c r="R35" s="85"/>
      <c r="S35" s="85"/>
      <c r="T35" s="14"/>
      <c r="U35" s="32">
        <f>IF(KOMatchRule=1,IFERROR(IF(AND($G35&lt;&gt;"",$H35&lt;&gt;"",O35&lt;&gt;"",P35&lt;&gt;""),IF(AND($G35=O35,$H35=P35),Thir1,IF(($G35-$H35)=(O35-P35),Thir2,IF(AND(($G35&gt;$H35),(O35&gt;P35)),Thir3,IF(AND(($H35&gt;$G35),(P35&gt;O35)),Thir3,0)))),0),0)+IFERROR(IF(KOPSO=1,IF(AND($J35&lt;&gt;"",$K35&lt;&gt;"",R35&lt;&gt;"",S35&lt;&gt;"",($G35-$H35)=(O35-P35)),IF(AND($J35=R35,$K35=S35),Pena1,IF(($J35-$K35)=(R35-S35),Pena2,IF(AND(($J35&gt;$K35),(R35&gt;S35)),Pena3,IF(AND(($J35&lt;$K35),(S35&gt;R35)),Pena3,0)))),0),0),0),IFERROR(IF(AND($F35=N35,$I35=Q35,$G35&lt;&gt;"",$H35&lt;&gt;"",O35&lt;&gt;"",P35&lt;&gt;""),IF(AND($G35=O35,$H35=P35),Thir1,IF(($G35-$H35)=(O35-P35),Thir2,IF(AND(($G35&gt;$H35),(O35&gt;P35)),Thir3,IF(AND(($H35&gt;$G35),(P35&gt;O35)),Thir3,0)))),0),0)+IFERROR(IF(KOPSO=1,IF(AND($F35=N35,$I35=Q35,$J35&lt;&gt;"",$K35&lt;&gt;"",R35&lt;&gt;"",S35&lt;&gt;"",($G35-$H35)=(O35-P35)),IF(AND($J35=R35,$K35=S35),Pena1,IF(($J35-$K35)=(R35-S35),Pena2,IF(AND(($J35&gt;$K35),(R35&gt;S35)),Pena3,IF(AND(($J35&lt;$K35),(S35&gt;R35)),Pena3,0)))),0),0),0))</f>
        <v>0</v>
      </c>
      <c r="V35" s="184"/>
      <c r="W35" s="162">
        <f>IF(U35=Thir1,W34+1,0)</f>
        <v>0</v>
      </c>
      <c r="X35" s="29"/>
      <c r="Y35" s="43" t="str">
        <f>IF(Z$4&lt;&gt;"",IF(KOMatchRule=1,$F35,IF(AND(Z33&lt;&gt;"",AA33&lt;&gt;""),IF((Z33+AC33)&lt;(AA33+AD33),Y33,IF((Z33+AC33)&gt;(AA33+AD33),AB33,"Match 61 Loser")),"Match 61 Loser")),"")</f>
        <v>Match 61 Loser</v>
      </c>
      <c r="Z35" s="84"/>
      <c r="AA35" s="84"/>
      <c r="AB35" s="44" t="str">
        <f>IF(Z$4&lt;&gt;"",IF(KOMatchRule=1,$I35,IF(AND(Z34&lt;&gt;"",AA34&lt;&gt;""),IF((Z34+AC34)&lt;(AA34+AD34),Y34,IF((Z34+AC34)&gt;(AA34+AD34),AB34,"Match 62 Loser")),"Match 62 Loser")),"")</f>
        <v>Match 62 Loser</v>
      </c>
      <c r="AC35" s="85"/>
      <c r="AD35" s="85"/>
      <c r="AE35" s="14"/>
      <c r="AF35" s="32">
        <f>IF(KOMatchRule=1,IFERROR(IF(AND($G35&lt;&gt;"",$H35&lt;&gt;"",Z35&lt;&gt;"",AA35&lt;&gt;""),IF(AND($G35=Z35,$H35=AA35),Thir1,IF(($G35-$H35)=(Z35-AA35),Thir2,IF(AND(($G35&gt;$H35),(Z35&gt;AA35)),Thir3,IF(AND(($H35&gt;$G35),(AA35&gt;Z35)),Thir3,0)))),0),0)+IFERROR(IF(KOPSO=1,IF(AND($J35&lt;&gt;"",$K35&lt;&gt;"",AC35&lt;&gt;"",AD35&lt;&gt;"",($G35-$H35)=(Z35-AA35)),IF(AND($J35=AC35,$K35=AD35),Pena1,IF(($J35-$K35)=(AC35-AD35),Pena2,IF(AND(($J35&gt;$K35),(AC35&gt;AD35)),Pena3,IF(AND(($J35&lt;$K35),(AD35&gt;AC35)),Pena3,0)))),0),0),0),IFERROR(IF(AND($F35=Y35,$I35=AB35,$G35&lt;&gt;"",$H35&lt;&gt;"",Z35&lt;&gt;"",AA35&lt;&gt;""),IF(AND($G35=Z35,$H35=AA35),Thir1,IF(($G35-$H35)=(Z35-AA35),Thir2,IF(AND(($G35&gt;$H35),(Z35&gt;AA35)),Thir3,IF(AND(($H35&gt;$G35),(AA35&gt;Z35)),Thir3,0)))),0),0)+IFERROR(IF(KOPSO=1,IF(AND($F35=Y35,$I35=AB35,$J35&lt;&gt;"",$K35&lt;&gt;"",AC35&lt;&gt;"",AD35&lt;&gt;"",($G35-$H35)=(Z35-AA35)),IF(AND($J35=AC35,$K35=AD35),Pena1,IF(($J35-$K35)=(AC35-AD35),Pena2,IF(AND(($J35&gt;$K35),(AC35&gt;AD35)),Pena3,IF(AND(($J35&lt;$K35),(AD35&gt;AC35)),Pena3,0)))),0),0),0))</f>
        <v>0</v>
      </c>
      <c r="AG35" s="184"/>
      <c r="AH35" s="162">
        <f>IF(AF35=Thir1,AH34+1,0)</f>
        <v>0</v>
      </c>
      <c r="AI35" s="29"/>
      <c r="AJ35" s="43" t="str">
        <f>IF(AK$4&lt;&gt;"",IF(KOMatchRule=1,$F35,IF(AND(AK33&lt;&gt;"",AL33&lt;&gt;""),IF((AK33+AN33)&lt;(AL33+AO33),AJ33,IF((AK33+AN33)&gt;(AL33+AO33),AM33,"Match 61 Loser")),"Match 61 Loser")),"")</f>
        <v>Match 61 Loser</v>
      </c>
      <c r="AK35" s="84"/>
      <c r="AL35" s="84"/>
      <c r="AM35" s="44" t="str">
        <f>IF(AK$4&lt;&gt;"",IF(KOMatchRule=1,$I35,IF(AND(AK34&lt;&gt;"",AL34&lt;&gt;""),IF((AK34+AN34)&lt;(AL34+AO34),AJ34,IF((AK34+AN34)&gt;(AL34+AO34),AM34,"Match 62 Loser")),"Match 62 Loser")),"")</f>
        <v>Match 62 Loser</v>
      </c>
      <c r="AN35" s="85"/>
      <c r="AO35" s="85"/>
      <c r="AP35" s="14"/>
      <c r="AQ35" s="32">
        <f>IF(KOMatchRule=1,IFERROR(IF(AND($G35&lt;&gt;"",$H35&lt;&gt;"",AK35&lt;&gt;"",AL35&lt;&gt;""),IF(AND($G35=AK35,$H35=AL35),Thir1,IF(($G35-$H35)=(AK35-AL35),Thir2,IF(AND(($G35&gt;$H35),(AK35&gt;AL35)),Thir3,IF(AND(($H35&gt;$G35),(AL35&gt;AK35)),Thir3,0)))),0),0)+IFERROR(IF(KOPSO=1,IF(AND($J35&lt;&gt;"",$K35&lt;&gt;"",AN35&lt;&gt;"",AO35&lt;&gt;"",($G35-$H35)=(AK35-AL35)),IF(AND($J35=AN35,$K35=AO35),Pena1,IF(($J35-$K35)=(AN35-AO35),Pena2,IF(AND(($J35&gt;$K35),(AN35&gt;AO35)),Pena3,IF(AND(($J35&lt;$K35),(AO35&gt;AN35)),Pena3,0)))),0),0),0),IFERROR(IF(AND($F35=AJ35,$I35=AM35,$G35&lt;&gt;"",$H35&lt;&gt;"",AK35&lt;&gt;"",AL35&lt;&gt;""),IF(AND($G35=AK35,$H35=AL35),Thir1,IF(($G35-$H35)=(AK35-AL35),Thir2,IF(AND(($G35&gt;$H35),(AK35&gt;AL35)),Thir3,IF(AND(($H35&gt;$G35),(AL35&gt;AK35)),Thir3,0)))),0),0)+IFERROR(IF(KOPSO=1,IF(AND($F35=AJ35,$I35=AM35,$J35&lt;&gt;"",$K35&lt;&gt;"",AN35&lt;&gt;"",AO35&lt;&gt;"",($G35-$H35)=(AK35-AL35)),IF(AND($J35=AN35,$K35=AO35),Pena1,IF(($J35-$K35)=(AN35-AO35),Pena2,IF(AND(($J35&gt;$K35),(AN35&gt;AO35)),Pena3,IF(AND(($J35&lt;$K35),(AO35&gt;AN35)),Pena3,0)))),0),0),0))</f>
        <v>0</v>
      </c>
      <c r="AR35" s="184"/>
      <c r="AS35" s="162">
        <f>IF(AQ35=Thir1,AS34+1,0)</f>
        <v>0</v>
      </c>
      <c r="AT35" s="29"/>
      <c r="AU35" s="43" t="str">
        <f>IF(AV$4&lt;&gt;"",IF(KOMatchRule=1,$F35,IF(AND(AV33&lt;&gt;"",AW33&lt;&gt;""),IF((AV33+AY33)&lt;(AW33+AZ33),AU33,IF((AV33+AY33)&gt;(AW33+AZ33),AX33,"Match 61 Loser")),"Match 61 Loser")),"")</f>
        <v>Match 61 Loser</v>
      </c>
      <c r="AV35" s="84"/>
      <c r="AW35" s="84"/>
      <c r="AX35" s="44" t="str">
        <f>IF(AV$4&lt;&gt;"",IF(KOMatchRule=1,$I35,IF(AND(AV34&lt;&gt;"",AW34&lt;&gt;""),IF((AV34+AY34)&lt;(AW34+AZ34),AU34,IF((AV34+AY34)&gt;(AW34+AZ34),AX34,"Match 62 Loser")),"Match 62 Loser")),"")</f>
        <v>Match 62 Loser</v>
      </c>
      <c r="AY35" s="85"/>
      <c r="AZ35" s="85"/>
      <c r="BA35" s="14"/>
      <c r="BB35" s="32">
        <f>IF(KOMatchRule=1,IFERROR(IF(AND($G35&lt;&gt;"",$H35&lt;&gt;"",AV35&lt;&gt;"",AW35&lt;&gt;""),IF(AND($G35=AV35,$H35=AW35),Thir1,IF(($G35-$H35)=(AV35-AW35),Thir2,IF(AND(($G35&gt;$H35),(AV35&gt;AW35)),Thir3,IF(AND(($H35&gt;$G35),(AW35&gt;AV35)),Thir3,0)))),0),0)+IFERROR(IF(KOPSO=1,IF(AND($J35&lt;&gt;"",$K35&lt;&gt;"",AY35&lt;&gt;"",AZ35&lt;&gt;"",($G35-$H35)=(AV35-AW35)),IF(AND($J35=AY35,$K35=AZ35),Pena1,IF(($J35-$K35)=(AY35-AZ35),Pena2,IF(AND(($J35&gt;$K35),(AY35&gt;AZ35)),Pena3,IF(AND(($J35&lt;$K35),(AZ35&gt;AY35)),Pena3,0)))),0),0),0),IFERROR(IF(AND($F35=AU35,$I35=AX35,$G35&lt;&gt;"",$H35&lt;&gt;"",AV35&lt;&gt;"",AW35&lt;&gt;""),IF(AND($G35=AV35,$H35=AW35),Thir1,IF(($G35-$H35)=(AV35-AW35),Thir2,IF(AND(($G35&gt;$H35),(AV35&gt;AW35)),Thir3,IF(AND(($H35&gt;$G35),(AW35&gt;AV35)),Thir3,0)))),0),0)+IFERROR(IF(KOPSO=1,IF(AND($F35=AU35,$I35=AX35,$J35&lt;&gt;"",$K35&lt;&gt;"",AY35&lt;&gt;"",AZ35&lt;&gt;"",($G35-$H35)=(AV35-AW35)),IF(AND($J35=AY35,$K35=AZ35),Pena1,IF(($J35-$K35)=(AY35-AZ35),Pena2,IF(AND(($J35&gt;$K35),(AY35&gt;AZ35)),Pena3,IF(AND(($J35&lt;$K35),(AZ35&gt;AY35)),Pena3,0)))),0),0),0))</f>
        <v>0</v>
      </c>
      <c r="BC35" s="184"/>
      <c r="BD35" s="162">
        <f>IF(BB35=Thir1,BD34+1,0)</f>
        <v>0</v>
      </c>
      <c r="BE35" s="29"/>
      <c r="BF35" s="43" t="str">
        <f>IF(BG$4&lt;&gt;"",IF(KOMatchRule=1,$F35,IF(AND(BG33&lt;&gt;"",BH33&lt;&gt;""),IF((BG33+BJ33)&lt;(BH33+BK33),BF33,IF((BG33+BJ33)&gt;(BH33+BK33),BI33,"Match 61 Loser")),"Match 61 Loser")),"")</f>
        <v>Match 61 Loser</v>
      </c>
      <c r="BG35" s="84"/>
      <c r="BH35" s="84"/>
      <c r="BI35" s="44" t="str">
        <f>IF(BG$4&lt;&gt;"",IF(KOMatchRule=1,$I35,IF(AND(BG34&lt;&gt;"",BH34&lt;&gt;""),IF((BG34+BJ34)&lt;(BH34+BK34),BF34,IF((BG34+BJ34)&gt;(BH34+BK34),BI34,"Match 62 Loser")),"Match 62 Loser")),"")</f>
        <v>Match 62 Loser</v>
      </c>
      <c r="BJ35" s="85"/>
      <c r="BK35" s="85"/>
      <c r="BL35" s="14"/>
      <c r="BM35" s="32">
        <f>IF(KOMatchRule=1,IFERROR(IF(AND($G35&lt;&gt;"",$H35&lt;&gt;"",BG35&lt;&gt;"",BH35&lt;&gt;""),IF(AND($G35=BG35,$H35=BH35),Thir1,IF(($G35-$H35)=(BG35-BH35),Thir2,IF(AND(($G35&gt;$H35),(BG35&gt;BH35)),Thir3,IF(AND(($H35&gt;$G35),(BH35&gt;BG35)),Thir3,0)))),0),0)+IFERROR(IF(KOPSO=1,IF(AND($J35&lt;&gt;"",$K35&lt;&gt;"",BJ35&lt;&gt;"",BK35&lt;&gt;"",($G35-$H35)=(BG35-BH35)),IF(AND($J35=BJ35,$K35=BK35),Pena1,IF(($J35-$K35)=(BJ35-BK35),Pena2,IF(AND(($J35&gt;$K35),(BJ35&gt;BK35)),Pena3,IF(AND(($J35&lt;$K35),(BK35&gt;BJ35)),Pena3,0)))),0),0),0),IFERROR(IF(AND($F35=BF35,$I35=BI35,$G35&lt;&gt;"",$H35&lt;&gt;"",BG35&lt;&gt;"",BH35&lt;&gt;""),IF(AND($G35=BG35,$H35=BH35),Thir1,IF(($G35-$H35)=(BG35-BH35),Thir2,IF(AND(($G35&gt;$H35),(BG35&gt;BH35)),Thir3,IF(AND(($H35&gt;$G35),(BH35&gt;BG35)),Thir3,0)))),0),0)+IFERROR(IF(KOPSO=1,IF(AND($F35=BF35,$I35=BI35,$J35&lt;&gt;"",$K35&lt;&gt;"",BJ35&lt;&gt;"",BK35&lt;&gt;"",($G35-$H35)=(BG35-BH35)),IF(AND($J35=BJ35,$K35=BK35),Pena1,IF(($J35-$K35)=(BJ35-BK35),Pena2,IF(AND(($J35&gt;$K35),(BJ35&gt;BK35)),Pena3,IF(AND(($J35&lt;$K35),(BK35&gt;BJ35)),Pena3,0)))),0),0),0))</f>
        <v>0</v>
      </c>
      <c r="BN35" s="184"/>
      <c r="BO35" s="162">
        <f>IF(BM35=Thir1,BO34+1,0)</f>
        <v>0</v>
      </c>
    </row>
    <row r="36" spans="1:67" x14ac:dyDescent="0.3">
      <c r="A36" s="109" t="str">
        <f t="shared" si="59"/>
        <v>H Runner Up</v>
      </c>
      <c r="B36" s="163" t="s">
        <v>149</v>
      </c>
      <c r="C36" s="24">
        <v>64</v>
      </c>
      <c r="D36" s="24" t="s">
        <v>29</v>
      </c>
      <c r="E36" s="25">
        <v>43296</v>
      </c>
      <c r="F36" s="45" t="str">
        <f>IF(AND(G33&lt;&gt;"",H33&lt;&gt;""),IF((G33+J33)&gt;(H33+K33),F33,IF((G33+J33)&lt;(H33+K33),I33,"Match #61 Winner")),"Match #61 Winner")</f>
        <v>Match #61 Winner</v>
      </c>
      <c r="G36" s="79"/>
      <c r="H36" s="79"/>
      <c r="I36" s="46" t="str">
        <f>IF(AND(G34&lt;&gt;"",H34&lt;&gt;""),IF((G34+J34)&gt;(H34+K34),F34,IF((G34+J34)&lt;(H34+K34),I34,"Match #62 Winner")),"Match #62 Winner")</f>
        <v>Match #62 Winner</v>
      </c>
      <c r="J36" s="80"/>
      <c r="K36" s="80"/>
      <c r="L36" s="27"/>
      <c r="M36" s="29"/>
      <c r="N36" s="43" t="str">
        <f>IF(O$4&lt;&gt;"",IF(KOMatchRule=1,$F36,IF(AND(O33&lt;&gt;"",P33&lt;&gt;""),IF((O33+R33)&gt;(P33+S33),N33,IF((O33+R33)&lt;(P33+S33),Q33,"Match 61 Winner")),"Match 61 Winner")),"")</f>
        <v>Match 61 Winner</v>
      </c>
      <c r="O36" s="84"/>
      <c r="P36" s="84"/>
      <c r="Q36" s="44" t="str">
        <f>IF(O$4&lt;&gt;"",IF(KOMatchRule=1,$I36,IF(AND(O34&lt;&gt;"",P34&lt;&gt;""),IF((O34+R34)&gt;(P34+S34),N34,IF((O34+R34)&lt;(P34+S34),Q34,"Match 62 Winner")),"Match 62 Winner")),"")</f>
        <v>Match 62 Winner</v>
      </c>
      <c r="R36" s="85"/>
      <c r="S36" s="85"/>
      <c r="T36" s="14"/>
      <c r="U36" s="32">
        <f>IF(KOMatchRule=1,IFERROR(IF(AND($G36&lt;&gt;"",$H36&lt;&gt;"",O36&lt;&gt;"",P36&lt;&gt;""),IF(AND($G36=O36,$H36=P36),Fina1,IF(($G36-$H36)=(O36-P36),Fina2,IF(AND(($G36&gt;$H36),(O36&gt;P36)),Fina3,IF(AND(($H36&gt;$G36),(P36&gt;O36)),Fina3,0)))),0),0)+IFERROR(IF(KOPSO=1,IF(AND($J36&lt;&gt;"",$K36&lt;&gt;"",R36&lt;&gt;"",S36&lt;&gt;"",($G36-$H36)=(O36-P36)),IF(AND($J36=R36,$K36=S36),Pena1,IF(($J36-$K36)=(R36-S36),Pena2,IF(AND(($J36&gt;$K36),(R36&gt;S36)),Pena3,IF(AND(($J36&lt;$K36),(S36&gt;R36)),Pena3,0)))),0),0),0),IFERROR(IF(AND($F36=N36,$I36=Q36,$G36&lt;&gt;"",$H36&lt;&gt;"",O36&lt;&gt;"",P36&lt;&gt;""),IF(AND($G36=O36,$H36=P36),Fina1,IF(($G36-$H36)=(O36-P36),Fina2,IF(AND(($G36&gt;$H36),(O36&gt;P36)),Fina3,IF(AND(($H36&gt;$G36),(P36&gt;O36)),Fina3,0)))),0),0)+IFERROR(IF(KOPSO=1,IF(AND($F36=N36,$I36=Q36,$J36&lt;&gt;"",$K36&lt;&gt;"",R36&lt;&gt;"",S36&lt;&gt;"",($G36-$H36)=(O36-P36)),IF(AND($J36=R36,$K36=S36),Pena1,IF(($J36-$K36)=(R36-S36),Pena2,IF(AND(($J36&gt;$K36),(R36&gt;S36)),Pena3,IF(AND(($J36&lt;$K36),(S36&gt;R36)),Pena3,0)))),0),0),0))</f>
        <v>0</v>
      </c>
      <c r="V36" s="184"/>
      <c r="W36" s="162">
        <f>IF(U36=Fina1,W35+1,0)</f>
        <v>0</v>
      </c>
      <c r="X36" s="29"/>
      <c r="Y36" s="43" t="str">
        <f>IF(Z$4&lt;&gt;"",IF(KOMatchRule=1,$F36,IF(AND(Z33&lt;&gt;"",AA33&lt;&gt;""),IF((Z33+AC33)&gt;(AA33+AD33),Y33,IF((Z33+AC33)&lt;(AA33+AD33),AB33,"Match 61 Winner")),"Match 61 Winner")),"")</f>
        <v>Match 61 Winner</v>
      </c>
      <c r="Z36" s="84"/>
      <c r="AA36" s="84"/>
      <c r="AB36" s="44" t="str">
        <f>IF(Z$4&lt;&gt;"",IF(KOMatchRule=1,$I36,IF(AND(Z34&lt;&gt;"",AA34&lt;&gt;""),IF((Z34+AC34)&gt;(AA34+AD34),Y34,IF((Z34+AC34)&lt;(AA34+AD34),AB34,"Match 62 Winner")),"Match 62 Winner")),"")</f>
        <v>Match 62 Winner</v>
      </c>
      <c r="AC36" s="85"/>
      <c r="AD36" s="85"/>
      <c r="AE36" s="14"/>
      <c r="AF36" s="32">
        <f>IF(KOMatchRule=1,IFERROR(IF(AND($G36&lt;&gt;"",$H36&lt;&gt;"",Z36&lt;&gt;"",AA36&lt;&gt;""),IF(AND($G36=Z36,$H36=AA36),Fina1,IF(($G36-$H36)=(Z36-AA36),Fina2,IF(AND(($G36&gt;$H36),(Z36&gt;AA36)),Fina3,IF(AND(($H36&gt;$G36),(AA36&gt;Z36)),Fina3,0)))),0),0)+IFERROR(IF(KOPSO=1,IF(AND($J36&lt;&gt;"",$K36&lt;&gt;"",AC36&lt;&gt;"",AD36&lt;&gt;"",($G36-$H36)=(Z36-AA36)),IF(AND($J36=AC36,$K36=AD36),Pena1,IF(($J36-$K36)=(AC36-AD36),Pena2,IF(AND(($J36&gt;$K36),(AC36&gt;AD36)),Pena3,IF(AND(($J36&lt;$K36),(AD36&gt;AC36)),Pena3,0)))),0),0),0),IFERROR(IF(AND($F36=Y36,$I36=AB36,$G36&lt;&gt;"",$H36&lt;&gt;"",Z36&lt;&gt;"",AA36&lt;&gt;""),IF(AND($G36=Z36,$H36=AA36),Fina1,IF(($G36-$H36)=(Z36-AA36),Fina2,IF(AND(($G36&gt;$H36),(Z36&gt;AA36)),Fina3,IF(AND(($H36&gt;$G36),(AA36&gt;Z36)),Fina3,0)))),0),0)+IFERROR(IF(KOPSO=1,IF(AND($F36=Y36,$I36=AB36,$J36&lt;&gt;"",$K36&lt;&gt;"",AC36&lt;&gt;"",AD36&lt;&gt;"",($G36-$H36)=(Z36-AA36)),IF(AND($J36=AC36,$K36=AD36),Pena1,IF(($J36-$K36)=(AC36-AD36),Pena2,IF(AND(($J36&gt;$K36),(AC36&gt;AD36)),Pena3,IF(AND(($J36&lt;$K36),(AD36&gt;AC36)),Pena3,0)))),0),0),0))</f>
        <v>0</v>
      </c>
      <c r="AG36" s="184"/>
      <c r="AH36" s="162">
        <f>IF(AF36=Fina1,AH35+1,0)</f>
        <v>0</v>
      </c>
      <c r="AI36" s="29"/>
      <c r="AJ36" s="43" t="str">
        <f>IF(AK$4&lt;&gt;"",IF(KOMatchRule=1,$F36,IF(AND(AK33&lt;&gt;"",AL33&lt;&gt;""),IF((AK33+AN33)&gt;(AL33+AO33),AJ33,IF((AK33+AN33)&lt;(AL33+AO33),AM33,"Match 61 Winner")),"Match 61 Winner")),"")</f>
        <v>Match 61 Winner</v>
      </c>
      <c r="AK36" s="84"/>
      <c r="AL36" s="84"/>
      <c r="AM36" s="44" t="str">
        <f>IF(AK$4&lt;&gt;"",IF(KOMatchRule=1,$I36,IF(AND(AK34&lt;&gt;"",AL34&lt;&gt;""),IF((AK34+AN34)&gt;(AL34+AO34),AJ34,IF((AK34+AN34)&lt;(AL34+AO34),AM34,"Match 62 Winner")),"Match 62 Winner")),"")</f>
        <v>Match 62 Winner</v>
      </c>
      <c r="AN36" s="85"/>
      <c r="AO36" s="85"/>
      <c r="AP36" s="14"/>
      <c r="AQ36" s="32">
        <f>IF(KOMatchRule=1,IFERROR(IF(AND($G36&lt;&gt;"",$H36&lt;&gt;"",AK36&lt;&gt;"",AL36&lt;&gt;""),IF(AND($G36=AK36,$H36=AL36),Fina1,IF(($G36-$H36)=(AK36-AL36),Fina2,IF(AND(($G36&gt;$H36),(AK36&gt;AL36)),Fina3,IF(AND(($H36&gt;$G36),(AL36&gt;AK36)),Fina3,0)))),0),0)+IFERROR(IF(KOPSO=1,IF(AND($J36&lt;&gt;"",$K36&lt;&gt;"",AN36&lt;&gt;"",AO36&lt;&gt;"",($G36-$H36)=(AK36-AL36)),IF(AND($J36=AN36,$K36=AO36),Pena1,IF(($J36-$K36)=(AN36-AO36),Pena2,IF(AND(($J36&gt;$K36),(AN36&gt;AO36)),Pena3,IF(AND(($J36&lt;$K36),(AO36&gt;AN36)),Pena3,0)))),0),0),0),IFERROR(IF(AND($F36=AJ36,$I36=AM36,$G36&lt;&gt;"",$H36&lt;&gt;"",AK36&lt;&gt;"",AL36&lt;&gt;""),IF(AND($G36=AK36,$H36=AL36),Fina1,IF(($G36-$H36)=(AK36-AL36),Fina2,IF(AND(($G36&gt;$H36),(AK36&gt;AL36)),Fina3,IF(AND(($H36&gt;$G36),(AL36&gt;AK36)),Fina3,0)))),0),0)+IFERROR(IF(KOPSO=1,IF(AND($F36=AJ36,$I36=AM36,$J36&lt;&gt;"",$K36&lt;&gt;"",AN36&lt;&gt;"",AO36&lt;&gt;"",($G36-$H36)=(AK36-AL36)),IF(AND($J36=AN36,$K36=AO36),Pena1,IF(($J36-$K36)=(AN36-AO36),Pena2,IF(AND(($J36&gt;$K36),(AN36&gt;AO36)),Pena3,IF(AND(($J36&lt;$K36),(AO36&gt;AN36)),Pena3,0)))),0),0),0))</f>
        <v>0</v>
      </c>
      <c r="AR36" s="184"/>
      <c r="AS36" s="162">
        <f>IF(AQ36=Fina1,AS35+1,0)</f>
        <v>0</v>
      </c>
      <c r="AT36" s="29"/>
      <c r="AU36" s="43" t="str">
        <f>IF(AV$4&lt;&gt;"",IF(KOMatchRule=1,$F36,IF(AND(AV33&lt;&gt;"",AW33&lt;&gt;""),IF((AV33+AY33)&gt;(AW33+AZ33),AU33,IF((AV33+AY33)&lt;(AW33+AZ33),AX33,"Match 61 Winner")),"Match 61 Winner")),"")</f>
        <v>Match 61 Winner</v>
      </c>
      <c r="AV36" s="84"/>
      <c r="AW36" s="84"/>
      <c r="AX36" s="44" t="str">
        <f>IF(AV$4&lt;&gt;"",IF(KOMatchRule=1,$I36,IF(AND(AV34&lt;&gt;"",AW34&lt;&gt;""),IF((AV34+AY34)&gt;(AW34+AZ34),AU34,IF((AV34+AY34)&lt;(AW34+AZ34),AX34,"Match 62 Winner")),"Match 62 Winner")),"")</f>
        <v>Match 62 Winner</v>
      </c>
      <c r="AY36" s="85"/>
      <c r="AZ36" s="85"/>
      <c r="BA36" s="14"/>
      <c r="BB36" s="32">
        <f>IF(KOMatchRule=1,IFERROR(IF(AND($G36&lt;&gt;"",$H36&lt;&gt;"",AV36&lt;&gt;"",AW36&lt;&gt;""),IF(AND($G36=AV36,$H36=AW36),Fina1,IF(($G36-$H36)=(AV36-AW36),Fina2,IF(AND(($G36&gt;$H36),(AV36&gt;AW36)),Fina3,IF(AND(($H36&gt;$G36),(AW36&gt;AV36)),Fina3,0)))),0),0)+IFERROR(IF(KOPSO=1,IF(AND($J36&lt;&gt;"",$K36&lt;&gt;"",AY36&lt;&gt;"",AZ36&lt;&gt;"",($G36-$H36)=(AV36-AW36)),IF(AND($J36=AY36,$K36=AZ36),Pena1,IF(($J36-$K36)=(AY36-AZ36),Pena2,IF(AND(($J36&gt;$K36),(AY36&gt;AZ36)),Pena3,IF(AND(($J36&lt;$K36),(AZ36&gt;AY36)),Pena3,0)))),0),0),0),IFERROR(IF(AND($F36=AU36,$I36=AX36,$G36&lt;&gt;"",$H36&lt;&gt;"",AV36&lt;&gt;"",AW36&lt;&gt;""),IF(AND($G36=AV36,$H36=AW36),Fina1,IF(($G36-$H36)=(AV36-AW36),Fina2,IF(AND(($G36&gt;$H36),(AV36&gt;AW36)),Fina3,IF(AND(($H36&gt;$G36),(AW36&gt;AV36)),Fina3,0)))),0),0)+IFERROR(IF(KOPSO=1,IF(AND($F36=AU36,$I36=AX36,$J36&lt;&gt;"",$K36&lt;&gt;"",AY36&lt;&gt;"",AZ36&lt;&gt;"",($G36-$H36)=(AV36-AW36)),IF(AND($J36=AY36,$K36=AZ36),Pena1,IF(($J36-$K36)=(AY36-AZ36),Pena2,IF(AND(($J36&gt;$K36),(AY36&gt;AZ36)),Pena3,IF(AND(($J36&lt;$K36),(AZ36&gt;AY36)),Pena3,0)))),0),0),0))</f>
        <v>0</v>
      </c>
      <c r="BC36" s="184"/>
      <c r="BD36" s="162">
        <f>IF(BB36=Fina1,BD35+1,0)</f>
        <v>0</v>
      </c>
      <c r="BE36" s="29"/>
      <c r="BF36" s="43" t="str">
        <f>IF(BG$4&lt;&gt;"",IF(KOMatchRule=1,$F36,IF(AND(BG33&lt;&gt;"",BH33&lt;&gt;""),IF((BG33+BJ33)&gt;(BH33+BK33),BF33,IF((BG33+BJ33)&lt;(BH33+BK33),BI33,"Match 61 Winner")),"Match 61 Winner")),"")</f>
        <v>Match 61 Winner</v>
      </c>
      <c r="BG36" s="84"/>
      <c r="BH36" s="84"/>
      <c r="BI36" s="44" t="str">
        <f>IF(BG$4&lt;&gt;"",IF(KOMatchRule=1,$I36,IF(AND(BG34&lt;&gt;"",BH34&lt;&gt;""),IF((BG34+BJ34)&gt;(BH34+BK34),BF34,IF((BG34+BJ34)&lt;(BH34+BK34),BI34,"Match 62 Winner")),"Match 62 Winner")),"")</f>
        <v>Match 62 Winner</v>
      </c>
      <c r="BJ36" s="85"/>
      <c r="BK36" s="85"/>
      <c r="BL36" s="14"/>
      <c r="BM36" s="32">
        <f>IF(KOMatchRule=1,IFERROR(IF(AND($G36&lt;&gt;"",$H36&lt;&gt;"",BG36&lt;&gt;"",BH36&lt;&gt;""),IF(AND($G36=BG36,$H36=BH36),Fina1,IF(($G36-$H36)=(BG36-BH36),Fina2,IF(AND(($G36&gt;$H36),(BG36&gt;BH36)),Fina3,IF(AND(($H36&gt;$G36),(BH36&gt;BG36)),Fina3,0)))),0),0)+IFERROR(IF(KOPSO=1,IF(AND($J36&lt;&gt;"",$K36&lt;&gt;"",BJ36&lt;&gt;"",BK36&lt;&gt;"",($G36-$H36)=(BG36-BH36)),IF(AND($J36=BJ36,$K36=BK36),Pena1,IF(($J36-$K36)=(BJ36-BK36),Pena2,IF(AND(($J36&gt;$K36),(BJ36&gt;BK36)),Pena3,IF(AND(($J36&lt;$K36),(BK36&gt;BJ36)),Pena3,0)))),0),0),0),IFERROR(IF(AND($F36=BF36,$I36=BI36,$G36&lt;&gt;"",$H36&lt;&gt;"",BG36&lt;&gt;"",BH36&lt;&gt;""),IF(AND($G36=BG36,$H36=BH36),Fina1,IF(($G36-$H36)=(BG36-BH36),Fina2,IF(AND(($G36&gt;$H36),(BG36&gt;BH36)),Fina3,IF(AND(($H36&gt;$G36),(BH36&gt;BG36)),Fina3,0)))),0),0)+IFERROR(IF(KOPSO=1,IF(AND($F36=BF36,$I36=BI36,$J36&lt;&gt;"",$K36&lt;&gt;"",BJ36&lt;&gt;"",BK36&lt;&gt;"",($G36-$H36)=(BG36-BH36)),IF(AND($J36=BJ36,$K36=BK36),Pena1,IF(($J36-$K36)=(BJ36-BK36),Pena2,IF(AND(($J36&gt;$K36),(BJ36&gt;BK36)),Pena3,IF(AND(($J36&lt;$K36),(BK36&gt;BJ36)),Pena3,0)))),0),0),0))</f>
        <v>0</v>
      </c>
      <c r="BN36" s="184"/>
      <c r="BO36" s="162">
        <f>IF(BM36=Fina1,BO35+1,0)</f>
        <v>0</v>
      </c>
    </row>
    <row r="37" spans="1:67" x14ac:dyDescent="0.3">
      <c r="B37" s="23"/>
      <c r="C37" s="24"/>
      <c r="D37" s="24"/>
      <c r="E37" s="25"/>
      <c r="F37" s="26"/>
      <c r="G37" s="27"/>
      <c r="H37" s="27"/>
      <c r="I37" s="28"/>
      <c r="J37" s="27"/>
      <c r="K37" s="27"/>
      <c r="L37" s="27"/>
      <c r="M37" s="29"/>
      <c r="N37" s="13"/>
      <c r="O37" s="14"/>
      <c r="P37" s="14"/>
      <c r="Q37" s="15"/>
      <c r="R37" s="14"/>
      <c r="S37" s="14"/>
      <c r="T37" s="14"/>
      <c r="U37" s="14"/>
      <c r="V37" s="186" t="s">
        <v>42</v>
      </c>
      <c r="W37" s="16"/>
      <c r="X37" s="14"/>
      <c r="Y37" s="13"/>
      <c r="Z37" s="14"/>
      <c r="AA37" s="14"/>
      <c r="AB37" s="15"/>
      <c r="AC37" s="14"/>
      <c r="AD37" s="14"/>
      <c r="AE37" s="14"/>
      <c r="AF37" s="14"/>
      <c r="AG37" s="186" t="s">
        <v>42</v>
      </c>
      <c r="AH37" s="16"/>
      <c r="AI37" s="14"/>
      <c r="AJ37" s="13"/>
      <c r="AK37" s="14"/>
      <c r="AL37" s="14"/>
      <c r="AM37" s="15"/>
      <c r="AN37" s="14"/>
      <c r="AO37" s="14"/>
      <c r="AP37" s="14"/>
      <c r="AQ37" s="14"/>
      <c r="AR37" s="186" t="s">
        <v>42</v>
      </c>
      <c r="AS37" s="16"/>
      <c r="AT37" s="14"/>
      <c r="AU37" s="13"/>
      <c r="AV37" s="14"/>
      <c r="AW37" s="14"/>
      <c r="AX37" s="15"/>
      <c r="AY37" s="14"/>
      <c r="AZ37" s="14"/>
      <c r="BA37" s="14"/>
      <c r="BB37" s="14"/>
      <c r="BC37" s="186" t="s">
        <v>42</v>
      </c>
      <c r="BD37" s="16"/>
      <c r="BE37" s="14"/>
      <c r="BF37" s="13"/>
      <c r="BG37" s="14"/>
      <c r="BH37" s="14"/>
      <c r="BI37" s="15"/>
      <c r="BJ37" s="14"/>
      <c r="BK37" s="14"/>
      <c r="BL37" s="14"/>
      <c r="BM37" s="14"/>
      <c r="BN37" s="186" t="s">
        <v>42</v>
      </c>
      <c r="BO37" s="16"/>
    </row>
    <row r="38" spans="1:67" x14ac:dyDescent="0.3">
      <c r="B38" s="23"/>
      <c r="C38" s="24"/>
      <c r="D38" s="24"/>
      <c r="E38" s="47"/>
      <c r="F38" s="48" t="s">
        <v>39</v>
      </c>
      <c r="G38" s="215" t="str">
        <f>IF(AND(G36&lt;&gt;"",H36&lt;&gt;""),IF((G36+J36)&gt;(H36+K36),F36,IF((G36+J36)&lt;(H36+K36),I36,"Match #64 Winner")),"Match #64 Winner")</f>
        <v>Match #64 Winner</v>
      </c>
      <c r="H38" s="216"/>
      <c r="I38" s="216"/>
      <c r="J38" s="27"/>
      <c r="K38" s="27"/>
      <c r="L38" s="27"/>
      <c r="M38" s="29">
        <f>SUM(V38:V40)</f>
        <v>0</v>
      </c>
      <c r="N38" s="49" t="s">
        <v>39</v>
      </c>
      <c r="O38" s="194"/>
      <c r="P38" s="194"/>
      <c r="Q38" s="194"/>
      <c r="R38" s="14"/>
      <c r="S38" s="14"/>
      <c r="T38" s="14"/>
      <c r="U38" s="14"/>
      <c r="V38" s="187"/>
      <c r="W38" s="16"/>
      <c r="X38" s="139">
        <f>SUM(AG38:AG40)</f>
        <v>0</v>
      </c>
      <c r="Y38" s="49" t="s">
        <v>39</v>
      </c>
      <c r="Z38" s="194"/>
      <c r="AA38" s="194"/>
      <c r="AB38" s="194"/>
      <c r="AC38" s="14"/>
      <c r="AD38" s="14"/>
      <c r="AE38" s="14"/>
      <c r="AF38" s="14"/>
      <c r="AG38" s="187"/>
      <c r="AH38" s="16"/>
      <c r="AI38" s="139">
        <f t="shared" ref="AI38" si="72">SUM(AR38:AR40)</f>
        <v>0</v>
      </c>
      <c r="AJ38" s="49" t="s">
        <v>39</v>
      </c>
      <c r="AK38" s="194"/>
      <c r="AL38" s="194"/>
      <c r="AM38" s="194"/>
      <c r="AN38" s="14"/>
      <c r="AO38" s="14"/>
      <c r="AP38" s="14"/>
      <c r="AQ38" s="14"/>
      <c r="AR38" s="187"/>
      <c r="AS38" s="16"/>
      <c r="AT38" s="139">
        <f t="shared" ref="AT38" si="73">SUM(BC38:BC40)</f>
        <v>0</v>
      </c>
      <c r="AU38" s="49" t="s">
        <v>39</v>
      </c>
      <c r="AV38" s="194"/>
      <c r="AW38" s="194"/>
      <c r="AX38" s="194"/>
      <c r="AY38" s="14"/>
      <c r="AZ38" s="14"/>
      <c r="BA38" s="14"/>
      <c r="BB38" s="14"/>
      <c r="BC38" s="187"/>
      <c r="BD38" s="16"/>
      <c r="BE38" s="139">
        <f t="shared" ref="BE38" si="74">SUM(BN38:BN40)</f>
        <v>0</v>
      </c>
      <c r="BF38" s="49" t="s">
        <v>39</v>
      </c>
      <c r="BG38" s="194"/>
      <c r="BH38" s="194"/>
      <c r="BI38" s="194"/>
      <c r="BJ38" s="14"/>
      <c r="BK38" s="14"/>
      <c r="BL38" s="14"/>
      <c r="BM38" s="14"/>
      <c r="BN38" s="187"/>
      <c r="BO38" s="16"/>
    </row>
    <row r="39" spans="1:67" x14ac:dyDescent="0.3">
      <c r="B39" s="23"/>
      <c r="C39" s="24"/>
      <c r="D39" s="24"/>
      <c r="E39" s="50"/>
      <c r="F39" s="51" t="s">
        <v>47</v>
      </c>
      <c r="G39" s="215" t="str">
        <f>IF(AND(G36&lt;&gt;"",H36&lt;&gt;""),IF((G36+J36)&lt;(H36+K36),F36,IF((G36+J36)&gt;(H36+K36),I36,"Match #64 Loser")),"Match #64 Loser")</f>
        <v>Match #64 Loser</v>
      </c>
      <c r="H39" s="216"/>
      <c r="I39" s="216"/>
      <c r="J39" s="27"/>
      <c r="K39" s="27"/>
      <c r="L39" s="27"/>
      <c r="M39" s="29">
        <f>SUM(V21:V36)</f>
        <v>0</v>
      </c>
      <c r="N39" s="52" t="s">
        <v>47</v>
      </c>
      <c r="O39" s="194"/>
      <c r="P39" s="194"/>
      <c r="Q39" s="194"/>
      <c r="R39" s="14"/>
      <c r="S39" s="14"/>
      <c r="T39" s="14"/>
      <c r="U39" s="14"/>
      <c r="V39" s="187"/>
      <c r="W39" s="16"/>
      <c r="X39" s="139">
        <f>SUM(AG21:AG36)</f>
        <v>0</v>
      </c>
      <c r="Y39" s="52" t="s">
        <v>47</v>
      </c>
      <c r="Z39" s="194"/>
      <c r="AA39" s="194"/>
      <c r="AB39" s="194"/>
      <c r="AC39" s="14"/>
      <c r="AD39" s="14"/>
      <c r="AE39" s="14"/>
      <c r="AF39" s="14"/>
      <c r="AG39" s="187"/>
      <c r="AH39" s="16"/>
      <c r="AI39" s="139">
        <f t="shared" ref="AI39" si="75">SUM(AR21:AR36)</f>
        <v>0</v>
      </c>
      <c r="AJ39" s="52" t="s">
        <v>47</v>
      </c>
      <c r="AK39" s="194"/>
      <c r="AL39" s="194"/>
      <c r="AM39" s="194"/>
      <c r="AN39" s="14"/>
      <c r="AO39" s="14"/>
      <c r="AP39" s="14"/>
      <c r="AQ39" s="14"/>
      <c r="AR39" s="187"/>
      <c r="AS39" s="16"/>
      <c r="AT39" s="139">
        <f t="shared" ref="AT39" si="76">SUM(BC21:BC36)</f>
        <v>0</v>
      </c>
      <c r="AU39" s="52" t="s">
        <v>47</v>
      </c>
      <c r="AV39" s="194"/>
      <c r="AW39" s="194"/>
      <c r="AX39" s="194"/>
      <c r="AY39" s="14"/>
      <c r="AZ39" s="14"/>
      <c r="BA39" s="14"/>
      <c r="BB39" s="14"/>
      <c r="BC39" s="187"/>
      <c r="BD39" s="16"/>
      <c r="BE39" s="139">
        <f t="shared" ref="BE39" si="77">SUM(BN21:BN36)</f>
        <v>0</v>
      </c>
      <c r="BF39" s="52" t="s">
        <v>47</v>
      </c>
      <c r="BG39" s="194"/>
      <c r="BH39" s="194"/>
      <c r="BI39" s="194"/>
      <c r="BJ39" s="14"/>
      <c r="BK39" s="14"/>
      <c r="BL39" s="14"/>
      <c r="BM39" s="14"/>
      <c r="BN39" s="187"/>
      <c r="BO39" s="16"/>
    </row>
    <row r="40" spans="1:67" x14ac:dyDescent="0.3">
      <c r="B40" s="23"/>
      <c r="C40" s="24"/>
      <c r="D40" s="24"/>
      <c r="E40" s="53"/>
      <c r="F40" s="54" t="s">
        <v>48</v>
      </c>
      <c r="G40" s="215" t="str">
        <f>IF(AND(G35&lt;&gt;"",H35&lt;&gt;""),IF((G35+J35)&gt;(H35+K35),F35,IF((G35+J35)&lt;(H35+K35),I35,"Match #63 Winner")),"Match #63 Winner")</f>
        <v>Match #63 Winner</v>
      </c>
      <c r="H40" s="216"/>
      <c r="I40" s="216"/>
      <c r="J40" s="27"/>
      <c r="K40" s="27"/>
      <c r="L40" s="27"/>
      <c r="M40" s="29">
        <f>COUNTIF(U21:U28,Round1)+COUNTIF(U29:U32,Quar1)+COUNTIF(U33:U34,Semi1)+COUNTIF(U35,Thir1)+COUNTIF(U36,Fina1)</f>
        <v>0</v>
      </c>
      <c r="N40" s="52" t="s">
        <v>48</v>
      </c>
      <c r="O40" s="194"/>
      <c r="P40" s="194"/>
      <c r="Q40" s="194"/>
      <c r="R40" s="14"/>
      <c r="S40" s="14"/>
      <c r="T40" s="14"/>
      <c r="U40" s="14"/>
      <c r="V40" s="187"/>
      <c r="W40" s="16"/>
      <c r="X40" s="139">
        <f>COUNTIF(AF21:AF28,Round1)+COUNTIF(AF29:AF32,Quar1)+COUNTIF(AF33:AF34,Semi1)+COUNTIF(AF35,Thir1)+COUNTIF(AF36,Fina1)</f>
        <v>0</v>
      </c>
      <c r="Y40" s="52" t="s">
        <v>48</v>
      </c>
      <c r="Z40" s="194"/>
      <c r="AA40" s="194"/>
      <c r="AB40" s="194"/>
      <c r="AC40" s="14"/>
      <c r="AD40" s="14"/>
      <c r="AE40" s="14"/>
      <c r="AF40" s="14"/>
      <c r="AG40" s="187"/>
      <c r="AH40" s="16"/>
      <c r="AI40" s="139">
        <f>COUNTIF(AQ21:AQ28,Round1)+COUNTIF(AQ29:AQ32,Quar1)+COUNTIF(AQ33:AQ34,Semi1)+COUNTIF(AQ35,Thir1)+COUNTIF(AQ36,Fina1)</f>
        <v>0</v>
      </c>
      <c r="AJ40" s="52" t="s">
        <v>48</v>
      </c>
      <c r="AK40" s="194"/>
      <c r="AL40" s="194"/>
      <c r="AM40" s="194"/>
      <c r="AN40" s="14"/>
      <c r="AO40" s="14"/>
      <c r="AP40" s="14"/>
      <c r="AQ40" s="14"/>
      <c r="AR40" s="187"/>
      <c r="AS40" s="16"/>
      <c r="AT40" s="139">
        <f>COUNTIF(BB21:BB28,Round1)+COUNTIF(BB29:BB32,Quar1)+COUNTIF(BB33:BB34,Semi1)+COUNTIF(BB35,Thir1)+COUNTIF(BB36,Fina1)</f>
        <v>0</v>
      </c>
      <c r="AU40" s="52" t="s">
        <v>48</v>
      </c>
      <c r="AV40" s="194"/>
      <c r="AW40" s="194"/>
      <c r="AX40" s="194"/>
      <c r="AY40" s="14"/>
      <c r="AZ40" s="14"/>
      <c r="BA40" s="14"/>
      <c r="BB40" s="14"/>
      <c r="BC40" s="187"/>
      <c r="BD40" s="16"/>
      <c r="BE40" s="139">
        <f>COUNTIF(BM21:BM28,Round1)+COUNTIF(BM29:BM32,Quar1)+COUNTIF(BM33:BM34,Semi1)+COUNTIF(BM35,Thir1)+COUNTIF(BM36,Fina1)</f>
        <v>0</v>
      </c>
      <c r="BF40" s="52" t="s">
        <v>48</v>
      </c>
      <c r="BG40" s="194"/>
      <c r="BH40" s="194"/>
      <c r="BI40" s="194"/>
      <c r="BJ40" s="14"/>
      <c r="BK40" s="14"/>
      <c r="BL40" s="14"/>
      <c r="BM40" s="14"/>
      <c r="BN40" s="187"/>
      <c r="BO40" s="16"/>
    </row>
    <row r="41" spans="1:67" x14ac:dyDescent="0.3">
      <c r="B41" s="23"/>
      <c r="C41" s="24"/>
      <c r="D41" s="24"/>
      <c r="E41" s="25"/>
      <c r="F41" s="26"/>
      <c r="G41" s="27"/>
      <c r="H41" s="27"/>
      <c r="I41" s="28"/>
      <c r="J41" s="27"/>
      <c r="K41" s="27"/>
      <c r="L41" s="27"/>
      <c r="M41" s="31"/>
      <c r="N41" s="14"/>
      <c r="O41" s="14"/>
      <c r="P41" s="14"/>
      <c r="Q41" s="14"/>
      <c r="R41" s="14"/>
      <c r="S41" s="14"/>
      <c r="T41" s="14"/>
      <c r="U41" s="14"/>
      <c r="V41" s="14"/>
      <c r="W41" s="16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6"/>
      <c r="AI41" s="31"/>
      <c r="AJ41" s="14"/>
      <c r="AK41" s="14"/>
      <c r="AL41" s="14"/>
      <c r="AM41" s="14"/>
      <c r="AN41" s="14"/>
      <c r="AO41" s="14"/>
      <c r="AP41" s="14"/>
      <c r="AQ41" s="14"/>
      <c r="AR41" s="14"/>
      <c r="AS41" s="16"/>
      <c r="AT41" s="31"/>
      <c r="AU41" s="14"/>
      <c r="AV41" s="14"/>
      <c r="AW41" s="14"/>
      <c r="AX41" s="14"/>
      <c r="AY41" s="14"/>
      <c r="AZ41" s="14"/>
      <c r="BA41" s="14"/>
      <c r="BB41" s="14"/>
      <c r="BC41" s="14"/>
      <c r="BD41" s="16"/>
      <c r="BE41" s="31"/>
      <c r="BF41" s="14"/>
      <c r="BG41" s="14"/>
      <c r="BH41" s="14"/>
      <c r="BI41" s="14"/>
      <c r="BJ41" s="14"/>
      <c r="BK41" s="14"/>
      <c r="BL41" s="14"/>
      <c r="BM41" s="14"/>
      <c r="BN41" s="14"/>
      <c r="BO41" s="16"/>
    </row>
    <row r="42" spans="1:67" x14ac:dyDescent="0.3">
      <c r="B42" s="23"/>
      <c r="C42" s="24"/>
      <c r="D42" s="24"/>
      <c r="E42" s="55"/>
      <c r="F42" s="56" t="s">
        <v>84</v>
      </c>
      <c r="G42" s="194"/>
      <c r="H42" s="194"/>
      <c r="I42" s="194"/>
      <c r="J42" s="27"/>
      <c r="K42" s="27"/>
      <c r="L42" s="27"/>
      <c r="M42" s="31"/>
      <c r="N42" s="57" t="s">
        <v>86</v>
      </c>
      <c r="O42" s="194"/>
      <c r="P42" s="194"/>
      <c r="Q42" s="194"/>
      <c r="R42" s="14"/>
      <c r="S42" s="14"/>
      <c r="T42" s="14"/>
      <c r="U42" s="14"/>
      <c r="V42" s="188"/>
      <c r="W42" s="16"/>
      <c r="X42" s="14"/>
      <c r="Y42" s="57" t="s">
        <v>86</v>
      </c>
      <c r="Z42" s="194"/>
      <c r="AA42" s="194"/>
      <c r="AB42" s="194"/>
      <c r="AC42" s="14"/>
      <c r="AD42" s="14"/>
      <c r="AE42" s="14"/>
      <c r="AF42" s="14"/>
      <c r="AG42" s="188"/>
      <c r="AH42" s="14"/>
      <c r="AI42" s="31"/>
      <c r="AJ42" s="57" t="s">
        <v>86</v>
      </c>
      <c r="AK42" s="194"/>
      <c r="AL42" s="194"/>
      <c r="AM42" s="194"/>
      <c r="AN42" s="14"/>
      <c r="AO42" s="14"/>
      <c r="AP42" s="14"/>
      <c r="AQ42" s="14"/>
      <c r="AR42" s="188"/>
      <c r="AS42" s="14"/>
      <c r="AT42" s="31"/>
      <c r="AU42" s="57" t="s">
        <v>86</v>
      </c>
      <c r="AV42" s="194"/>
      <c r="AW42" s="194"/>
      <c r="AX42" s="194"/>
      <c r="AY42" s="14"/>
      <c r="AZ42" s="14"/>
      <c r="BA42" s="14"/>
      <c r="BB42" s="14"/>
      <c r="BC42" s="188"/>
      <c r="BD42" s="14"/>
      <c r="BE42" s="31"/>
      <c r="BF42" s="57" t="s">
        <v>86</v>
      </c>
      <c r="BG42" s="194"/>
      <c r="BH42" s="194"/>
      <c r="BI42" s="194"/>
      <c r="BJ42" s="14"/>
      <c r="BK42" s="14"/>
      <c r="BL42" s="14"/>
      <c r="BM42" s="14"/>
      <c r="BN42" s="188"/>
      <c r="BO42" s="14"/>
    </row>
    <row r="43" spans="1:67" x14ac:dyDescent="0.3">
      <c r="B43" s="23"/>
      <c r="C43" s="24"/>
      <c r="D43" s="24"/>
      <c r="E43" s="58"/>
      <c r="F43" s="59" t="s">
        <v>85</v>
      </c>
      <c r="G43" s="194"/>
      <c r="H43" s="194"/>
      <c r="I43" s="194"/>
      <c r="J43" s="27"/>
      <c r="K43" s="27"/>
      <c r="L43" s="27"/>
      <c r="M43" s="31"/>
      <c r="N43" s="60" t="s">
        <v>87</v>
      </c>
      <c r="O43" s="194"/>
      <c r="P43" s="194"/>
      <c r="Q43" s="194"/>
      <c r="R43" s="14"/>
      <c r="S43" s="14"/>
      <c r="T43" s="14"/>
      <c r="U43" s="14"/>
      <c r="V43" s="188"/>
      <c r="W43" s="16"/>
      <c r="X43" s="14"/>
      <c r="Y43" s="60" t="s">
        <v>87</v>
      </c>
      <c r="Z43" s="194"/>
      <c r="AA43" s="194"/>
      <c r="AB43" s="194"/>
      <c r="AC43" s="14"/>
      <c r="AD43" s="14"/>
      <c r="AE43" s="14"/>
      <c r="AF43" s="14"/>
      <c r="AG43" s="188"/>
      <c r="AH43" s="14"/>
      <c r="AI43" s="31"/>
      <c r="AJ43" s="60" t="s">
        <v>87</v>
      </c>
      <c r="AK43" s="194"/>
      <c r="AL43" s="194"/>
      <c r="AM43" s="194"/>
      <c r="AN43" s="14"/>
      <c r="AO43" s="14"/>
      <c r="AP43" s="14"/>
      <c r="AQ43" s="14"/>
      <c r="AR43" s="188"/>
      <c r="AS43" s="14"/>
      <c r="AT43" s="31"/>
      <c r="AU43" s="60" t="s">
        <v>87</v>
      </c>
      <c r="AV43" s="194"/>
      <c r="AW43" s="194"/>
      <c r="AX43" s="194"/>
      <c r="AY43" s="14"/>
      <c r="AZ43" s="14"/>
      <c r="BA43" s="14"/>
      <c r="BB43" s="14"/>
      <c r="BC43" s="188"/>
      <c r="BD43" s="14"/>
      <c r="BE43" s="31"/>
      <c r="BF43" s="60" t="s">
        <v>87</v>
      </c>
      <c r="BG43" s="194"/>
      <c r="BH43" s="194"/>
      <c r="BI43" s="194"/>
      <c r="BJ43" s="14"/>
      <c r="BK43" s="14"/>
      <c r="BL43" s="14"/>
      <c r="BM43" s="14"/>
      <c r="BN43" s="188"/>
      <c r="BO43" s="14"/>
    </row>
    <row r="44" spans="1:67" x14ac:dyDescent="0.3">
      <c r="B44" s="23"/>
      <c r="C44" s="24"/>
      <c r="D44" s="24"/>
      <c r="E44" s="25"/>
      <c r="F44" s="26"/>
      <c r="G44" s="27"/>
      <c r="H44" s="27"/>
      <c r="I44" s="28"/>
      <c r="J44" s="27"/>
      <c r="K44" s="27"/>
      <c r="L44" s="27"/>
      <c r="M44" s="143"/>
      <c r="N44" s="144"/>
      <c r="O44" s="144"/>
      <c r="P44" s="144"/>
      <c r="Q44" s="144"/>
      <c r="R44" s="144"/>
      <c r="S44" s="144"/>
      <c r="T44" s="144"/>
      <c r="U44" s="144"/>
      <c r="V44" s="144"/>
      <c r="W44" s="145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31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31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31"/>
      <c r="BF44" s="14"/>
      <c r="BG44" s="14"/>
      <c r="BH44" s="14"/>
      <c r="BI44" s="14"/>
      <c r="BJ44" s="14"/>
      <c r="BK44" s="14"/>
      <c r="BL44" s="14"/>
      <c r="BM44" s="14"/>
      <c r="BN44" s="14"/>
      <c r="BO44" s="14"/>
    </row>
    <row r="45" spans="1:67" x14ac:dyDescent="0.3">
      <c r="B45" s="61" t="s">
        <v>69</v>
      </c>
      <c r="C45" s="62"/>
      <c r="D45" s="62"/>
      <c r="E45" s="63"/>
      <c r="F45" s="64"/>
      <c r="G45" s="65"/>
      <c r="H45" s="65"/>
      <c r="I45" s="66"/>
      <c r="J45" s="65"/>
      <c r="K45" s="65"/>
      <c r="L45" s="65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</row>
    <row r="46" spans="1:67" ht="14.55" customHeight="1" x14ac:dyDescent="0.3">
      <c r="B46" s="67" t="s">
        <v>76</v>
      </c>
      <c r="M46" s="68" t="s">
        <v>151</v>
      </c>
    </row>
    <row r="47" spans="1:67" x14ac:dyDescent="0.3">
      <c r="B47" s="69" t="s">
        <v>72</v>
      </c>
      <c r="C47" s="70" t="s">
        <v>82</v>
      </c>
      <c r="M47" s="175"/>
      <c r="N47" s="166" t="s">
        <v>152</v>
      </c>
      <c r="O47" s="71"/>
      <c r="P47" s="166"/>
      <c r="Q47" s="166"/>
      <c r="R47" s="166"/>
      <c r="S47" s="166"/>
      <c r="T47" s="166"/>
      <c r="U47" s="166"/>
      <c r="V47" s="166"/>
      <c r="W47" s="166"/>
      <c r="X47" s="166"/>
      <c r="Y47" s="166"/>
    </row>
    <row r="48" spans="1:67" ht="14.55" customHeight="1" x14ac:dyDescent="0.3">
      <c r="B48" s="69" t="s">
        <v>72</v>
      </c>
      <c r="C48" s="70" t="s">
        <v>83</v>
      </c>
      <c r="M48" s="169"/>
      <c r="N48" s="71" t="s">
        <v>153</v>
      </c>
      <c r="O48" s="71"/>
      <c r="P48" s="166"/>
      <c r="Q48" s="166"/>
      <c r="R48" s="166"/>
      <c r="S48" s="166"/>
      <c r="T48" s="166"/>
      <c r="U48" s="166"/>
      <c r="V48" s="166"/>
      <c r="W48" s="166"/>
      <c r="X48" s="166"/>
      <c r="Y48" s="166"/>
    </row>
    <row r="49" spans="2:25" x14ac:dyDescent="0.3">
      <c r="B49" s="69" t="s">
        <v>72</v>
      </c>
      <c r="C49" s="195" t="s">
        <v>150</v>
      </c>
      <c r="D49" s="195"/>
      <c r="E49" s="195"/>
      <c r="F49" s="195"/>
      <c r="G49" s="195"/>
      <c r="H49" s="195"/>
      <c r="I49" s="195"/>
      <c r="J49" s="195"/>
      <c r="K49" s="195"/>
      <c r="M49" s="169"/>
      <c r="N49" s="71"/>
      <c r="O49" s="72"/>
      <c r="P49" s="166"/>
      <c r="Q49" s="72"/>
      <c r="R49" s="166"/>
      <c r="S49" s="166"/>
      <c r="T49" s="166"/>
      <c r="U49" s="166"/>
      <c r="V49" s="166"/>
      <c r="W49" s="166"/>
      <c r="X49" s="166"/>
      <c r="Y49" s="166"/>
    </row>
    <row r="50" spans="2:25" x14ac:dyDescent="0.3">
      <c r="C50" s="195"/>
      <c r="D50" s="195"/>
      <c r="E50" s="195"/>
      <c r="F50" s="195"/>
      <c r="G50" s="195"/>
      <c r="H50" s="195"/>
      <c r="I50" s="195"/>
      <c r="J50" s="195"/>
      <c r="K50" s="195"/>
      <c r="M50" s="170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</row>
    <row r="51" spans="2:25" x14ac:dyDescent="0.3">
      <c r="B51" s="69" t="s">
        <v>72</v>
      </c>
      <c r="C51" s="70" t="s">
        <v>77</v>
      </c>
      <c r="M51" s="169"/>
      <c r="N51" s="71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</row>
    <row r="52" spans="2:25" ht="14.55" customHeight="1" x14ac:dyDescent="0.3">
      <c r="C52" s="70" t="s">
        <v>78</v>
      </c>
      <c r="M52" s="167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</row>
    <row r="53" spans="2:25" x14ac:dyDescent="0.3">
      <c r="B53" s="69" t="s">
        <v>72</v>
      </c>
      <c r="C53" s="70" t="s">
        <v>79</v>
      </c>
      <c r="M53" s="165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</row>
    <row r="54" spans="2:25" x14ac:dyDescent="0.3">
      <c r="B54" s="69" t="s">
        <v>72</v>
      </c>
      <c r="C54" s="195" t="s">
        <v>81</v>
      </c>
      <c r="D54" s="195"/>
      <c r="E54" s="195"/>
      <c r="F54" s="195"/>
      <c r="G54" s="195"/>
      <c r="H54" s="195"/>
      <c r="I54" s="195"/>
      <c r="J54" s="195"/>
      <c r="K54" s="195"/>
      <c r="M54" s="168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</row>
    <row r="55" spans="2:25" x14ac:dyDescent="0.3">
      <c r="C55" s="195"/>
      <c r="D55" s="195"/>
      <c r="E55" s="195"/>
      <c r="F55" s="195"/>
      <c r="G55" s="195"/>
      <c r="H55" s="195"/>
      <c r="I55" s="195"/>
      <c r="J55" s="195"/>
      <c r="K55" s="195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</row>
    <row r="56" spans="2:25" x14ac:dyDescent="0.3">
      <c r="B56" s="69" t="s">
        <v>72</v>
      </c>
      <c r="C56" s="195" t="s">
        <v>80</v>
      </c>
      <c r="D56" s="195"/>
      <c r="E56" s="195"/>
      <c r="F56" s="195"/>
      <c r="G56" s="195"/>
      <c r="H56" s="195"/>
      <c r="I56" s="195"/>
      <c r="J56" s="195"/>
      <c r="K56" s="195"/>
      <c r="M56" s="165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</row>
    <row r="57" spans="2:25" ht="14.55" customHeight="1" x14ac:dyDescent="0.3">
      <c r="C57" s="195"/>
      <c r="D57" s="195"/>
      <c r="E57" s="195"/>
      <c r="F57" s="195"/>
      <c r="G57" s="195"/>
      <c r="H57" s="195"/>
      <c r="I57" s="195"/>
      <c r="J57" s="195"/>
      <c r="K57" s="195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</row>
    <row r="58" spans="2:25" ht="14.55" customHeight="1" x14ac:dyDescent="0.3">
      <c r="B58" s="69"/>
      <c r="C58" s="195"/>
      <c r="D58" s="195"/>
      <c r="E58" s="195"/>
      <c r="F58" s="195"/>
      <c r="G58" s="195"/>
      <c r="H58" s="195"/>
      <c r="I58" s="195"/>
      <c r="J58" s="195"/>
      <c r="K58" s="195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</row>
    <row r="59" spans="2:25" ht="14.55" customHeight="1" x14ac:dyDescent="0.3">
      <c r="B59" s="69"/>
      <c r="C59" s="195"/>
      <c r="D59" s="195"/>
      <c r="E59" s="195"/>
      <c r="F59" s="195"/>
      <c r="G59" s="195"/>
      <c r="H59" s="195"/>
      <c r="I59" s="195"/>
      <c r="J59" s="195"/>
      <c r="K59" s="195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</row>
    <row r="60" spans="2:25" x14ac:dyDescent="0.3"/>
    <row r="61" spans="2:25" ht="13.95" hidden="1" customHeight="1" x14ac:dyDescent="0.3"/>
    <row r="62" spans="2:25" x14ac:dyDescent="0.3"/>
    <row r="63" spans="2:25" x14ac:dyDescent="0.3"/>
    <row r="64" spans="2:25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</sheetData>
  <sheetProtection formatCells="0" formatColumns="0" formatRows="0"/>
  <mergeCells count="142">
    <mergeCell ref="O8:P8"/>
    <mergeCell ref="AN12:AO12"/>
    <mergeCell ref="AY12:AZ12"/>
    <mergeCell ref="BJ12:BK12"/>
    <mergeCell ref="AN11:AO11"/>
    <mergeCell ref="AY11:AZ11"/>
    <mergeCell ref="BJ11:BK11"/>
    <mergeCell ref="AN10:AO10"/>
    <mergeCell ref="AY10:AZ10"/>
    <mergeCell ref="BJ10:BK10"/>
    <mergeCell ref="AV4:AX4"/>
    <mergeCell ref="AK4:AM4"/>
    <mergeCell ref="AN4:AP4"/>
    <mergeCell ref="AK5:AL5"/>
    <mergeCell ref="BG8:BH8"/>
    <mergeCell ref="BG4:BI4"/>
    <mergeCell ref="B6:L6"/>
    <mergeCell ref="B2:L5"/>
    <mergeCell ref="G15:H15"/>
    <mergeCell ref="R9:S9"/>
    <mergeCell ref="R10:S10"/>
    <mergeCell ref="R11:S11"/>
    <mergeCell ref="R12:S12"/>
    <mergeCell ref="AC9:AD9"/>
    <mergeCell ref="AC10:AD10"/>
    <mergeCell ref="AC11:AD11"/>
    <mergeCell ref="AC12:AD12"/>
    <mergeCell ref="G12:H12"/>
    <mergeCell ref="Z13:AA13"/>
    <mergeCell ref="Z14:AA14"/>
    <mergeCell ref="Z15:AA15"/>
    <mergeCell ref="M2:W2"/>
    <mergeCell ref="X2:AH2"/>
    <mergeCell ref="M3:M5"/>
    <mergeCell ref="G13:H13"/>
    <mergeCell ref="O13:P13"/>
    <mergeCell ref="O14:P14"/>
    <mergeCell ref="O15:P15"/>
    <mergeCell ref="O16:P16"/>
    <mergeCell ref="Z17:AA17"/>
    <mergeCell ref="AY9:AZ9"/>
    <mergeCell ref="BJ9:BK9"/>
    <mergeCell ref="AI2:AS2"/>
    <mergeCell ref="AT2:BD2"/>
    <mergeCell ref="BE2:BO2"/>
    <mergeCell ref="G8:H8"/>
    <mergeCell ref="G9:H9"/>
    <mergeCell ref="G10:H10"/>
    <mergeCell ref="G11:H11"/>
    <mergeCell ref="AN9:AO9"/>
    <mergeCell ref="AV8:AW8"/>
    <mergeCell ref="X3:X5"/>
    <mergeCell ref="AC4:AE4"/>
    <mergeCell ref="Z5:AA5"/>
    <mergeCell ref="AC5:AE5"/>
    <mergeCell ref="Z8:AA8"/>
    <mergeCell ref="M6:W6"/>
    <mergeCell ref="X6:AH6"/>
    <mergeCell ref="O20:P20"/>
    <mergeCell ref="R20:S20"/>
    <mergeCell ref="AK39:AM39"/>
    <mergeCell ref="AK40:AM40"/>
    <mergeCell ref="G16:H16"/>
    <mergeCell ref="G14:H14"/>
    <mergeCell ref="G38:I38"/>
    <mergeCell ref="O38:Q38"/>
    <mergeCell ref="Z39:AB39"/>
    <mergeCell ref="Z40:AB40"/>
    <mergeCell ref="Z20:AA20"/>
    <mergeCell ref="AC20:AD20"/>
    <mergeCell ref="Z38:AB38"/>
    <mergeCell ref="G39:I39"/>
    <mergeCell ref="G40:I40"/>
    <mergeCell ref="O39:Q39"/>
    <mergeCell ref="O40:Q40"/>
    <mergeCell ref="O17:P17"/>
    <mergeCell ref="G20:H20"/>
    <mergeCell ref="J20:K20"/>
    <mergeCell ref="AV38:AX38"/>
    <mergeCell ref="AV39:AX39"/>
    <mergeCell ref="AV40:AX40"/>
    <mergeCell ref="AK15:AL15"/>
    <mergeCell ref="AK16:AL16"/>
    <mergeCell ref="AK17:AL17"/>
    <mergeCell ref="AK20:AL20"/>
    <mergeCell ref="AN20:AO20"/>
    <mergeCell ref="AK13:AL13"/>
    <mergeCell ref="AK14:AL14"/>
    <mergeCell ref="AV16:AW16"/>
    <mergeCell ref="AV17:AW17"/>
    <mergeCell ref="AV20:AW20"/>
    <mergeCell ref="AK38:AM38"/>
    <mergeCell ref="BG38:BI38"/>
    <mergeCell ref="BG39:BI39"/>
    <mergeCell ref="BG40:BI40"/>
    <mergeCell ref="BG15:BH15"/>
    <mergeCell ref="BG16:BH16"/>
    <mergeCell ref="BG17:BH17"/>
    <mergeCell ref="BG20:BH20"/>
    <mergeCell ref="BJ20:BK20"/>
    <mergeCell ref="BG13:BH13"/>
    <mergeCell ref="BG14:BH14"/>
    <mergeCell ref="BJ4:BL4"/>
    <mergeCell ref="BG5:BH5"/>
    <mergeCell ref="BJ5:BL5"/>
    <mergeCell ref="AK8:AL8"/>
    <mergeCell ref="AY20:AZ20"/>
    <mergeCell ref="AY4:BA4"/>
    <mergeCell ref="AV5:AW5"/>
    <mergeCell ref="O4:Q4"/>
    <mergeCell ref="Z4:AB4"/>
    <mergeCell ref="R4:T4"/>
    <mergeCell ref="R5:T5"/>
    <mergeCell ref="O5:P5"/>
    <mergeCell ref="AY5:BA5"/>
    <mergeCell ref="AN5:AP5"/>
    <mergeCell ref="AI3:AI5"/>
    <mergeCell ref="AT3:AT5"/>
    <mergeCell ref="BE3:BE5"/>
    <mergeCell ref="AI6:AS6"/>
    <mergeCell ref="AT6:BD6"/>
    <mergeCell ref="BE6:BO6"/>
    <mergeCell ref="AV13:AW13"/>
    <mergeCell ref="AV14:AW14"/>
    <mergeCell ref="AV15:AW15"/>
    <mergeCell ref="Z16:AA16"/>
    <mergeCell ref="AK42:AM42"/>
    <mergeCell ref="AV42:AX42"/>
    <mergeCell ref="BG42:BI42"/>
    <mergeCell ref="AK43:AM43"/>
    <mergeCell ref="AV43:AX43"/>
    <mergeCell ref="BG43:BI43"/>
    <mergeCell ref="C58:K59"/>
    <mergeCell ref="C56:K57"/>
    <mergeCell ref="C54:K55"/>
    <mergeCell ref="C49:K50"/>
    <mergeCell ref="G42:I42"/>
    <mergeCell ref="G43:I43"/>
    <mergeCell ref="O42:Q42"/>
    <mergeCell ref="O43:Q43"/>
    <mergeCell ref="Z42:AB42"/>
    <mergeCell ref="Z43:AB43"/>
  </mergeCells>
  <conditionalFormatting sqref="N9:N11 N13:N16">
    <cfRule type="expression" dxfId="62" priority="1576">
      <formula>N9=$F9</formula>
    </cfRule>
  </conditionalFormatting>
  <conditionalFormatting sqref="Q13:Q16">
    <cfRule type="expression" dxfId="61" priority="1575">
      <formula>Q13=$I13</formula>
    </cfRule>
  </conditionalFormatting>
  <conditionalFormatting sqref="N13:Q16 O12 N9:O11">
    <cfRule type="expression" dxfId="60" priority="1577">
      <formula>MATCH(N9,Qualified,0)</formula>
    </cfRule>
  </conditionalFormatting>
  <conditionalFormatting sqref="O21:P36">
    <cfRule type="expression" dxfId="59" priority="1566">
      <formula>ISTEXT(O21)</formula>
    </cfRule>
  </conditionalFormatting>
  <conditionalFormatting sqref="R21:S36">
    <cfRule type="expression" dxfId="58" priority="1556">
      <formula>ISTEXT(R21)</formula>
    </cfRule>
  </conditionalFormatting>
  <conditionalFormatting sqref="G21:H36">
    <cfRule type="expression" dxfId="57" priority="1564">
      <formula>ISTEXT(G21)</formula>
    </cfRule>
  </conditionalFormatting>
  <conditionalFormatting sqref="J21:K36">
    <cfRule type="expression" dxfId="56" priority="1561">
      <formula>ISTEXT(J21)</formula>
    </cfRule>
  </conditionalFormatting>
  <conditionalFormatting sqref="J21:K36">
    <cfRule type="expression" dxfId="55" priority="1562">
      <formula>AND($G21&lt;&gt;"",$H21&lt;&gt;"",$G21=$H21)</formula>
    </cfRule>
  </conditionalFormatting>
  <conditionalFormatting sqref="R21:R36">
    <cfRule type="expression" dxfId="54" priority="1558">
      <formula>AND(O21&lt;&gt;"",P21&lt;&gt;"",O21=P21)</formula>
    </cfRule>
  </conditionalFormatting>
  <conditionalFormatting sqref="S21:S36">
    <cfRule type="expression" dxfId="53" priority="1557">
      <formula>AND(O21&lt;&gt;"",P21&lt;&gt;"",O21=P21)</formula>
    </cfRule>
  </conditionalFormatting>
  <conditionalFormatting sqref="N21:N36">
    <cfRule type="expression" dxfId="52" priority="1578">
      <formula>AND(O21&lt;&gt;"",P21&lt;&gt;"",O21+R21&gt;P21+S21)</formula>
    </cfRule>
  </conditionalFormatting>
  <conditionalFormatting sqref="Q21:Q36">
    <cfRule type="expression" dxfId="51" priority="1580">
      <formula>AND(O21&lt;&gt;"",P21&lt;&gt;"",O21+R21&lt;P21+S21)</formula>
    </cfRule>
  </conditionalFormatting>
  <conditionalFormatting sqref="F21:F36">
    <cfRule type="expression" dxfId="50" priority="1584">
      <formula>AND(G21&lt;&gt;"",H21&lt;&gt;"",(G21+J21)&gt;(H21+K21))</formula>
    </cfRule>
  </conditionalFormatting>
  <conditionalFormatting sqref="I21:I36">
    <cfRule type="expression" dxfId="49" priority="1585">
      <formula>AND(G21&lt;&gt;"",H21&lt;&gt;"",(G21+J21)&lt;(H21+K21))</formula>
    </cfRule>
  </conditionalFormatting>
  <conditionalFormatting sqref="Y37:AF37">
    <cfRule type="expression" dxfId="48" priority="144">
      <formula>KOMatchRule=1</formula>
    </cfRule>
  </conditionalFormatting>
  <conditionalFormatting sqref="Y13:Y16">
    <cfRule type="expression" dxfId="47" priority="57">
      <formula>Y13=$F13</formula>
    </cfRule>
  </conditionalFormatting>
  <conditionalFormatting sqref="AB13:AB16">
    <cfRule type="expression" dxfId="46" priority="56">
      <formula>AB13=$I13</formula>
    </cfRule>
  </conditionalFormatting>
  <conditionalFormatting sqref="Y13:AB16">
    <cfRule type="expression" dxfId="45" priority="58">
      <formula>MATCH(Y13,Qualified,0)</formula>
    </cfRule>
  </conditionalFormatting>
  <conditionalFormatting sqref="O9:O12">
    <cfRule type="expression" dxfId="44" priority="49">
      <formula>O9=$I9</formula>
    </cfRule>
  </conditionalFormatting>
  <conditionalFormatting sqref="O9:O11">
    <cfRule type="expression" dxfId="43" priority="48">
      <formula>O9=$F9</formula>
    </cfRule>
  </conditionalFormatting>
  <conditionalFormatting sqref="N12">
    <cfRule type="expression" dxfId="42" priority="47">
      <formula>MATCH(N12,Qualified,0)</formula>
    </cfRule>
  </conditionalFormatting>
  <conditionalFormatting sqref="N12">
    <cfRule type="expression" dxfId="41" priority="46">
      <formula>N12=$I12</formula>
    </cfRule>
  </conditionalFormatting>
  <conditionalFormatting sqref="N9:N11">
    <cfRule type="expression" dxfId="40" priority="45">
      <formula>N9=$I9</formula>
    </cfRule>
  </conditionalFormatting>
  <conditionalFormatting sqref="N9:N11">
    <cfRule type="expression" dxfId="39" priority="44">
      <formula>N9=$F9</formula>
    </cfRule>
  </conditionalFormatting>
  <conditionalFormatting sqref="AC21:AD36">
    <cfRule type="expression" dxfId="38" priority="38">
      <formula>ISTEXT(AC21)</formula>
    </cfRule>
  </conditionalFormatting>
  <conditionalFormatting sqref="AC21:AC36">
    <cfRule type="expression" dxfId="37" priority="40">
      <formula>AND(Z21&lt;&gt;"",AA21&lt;&gt;"",Z21=AA21)</formula>
    </cfRule>
  </conditionalFormatting>
  <conditionalFormatting sqref="AD21:AD36">
    <cfRule type="expression" dxfId="36" priority="39">
      <formula>AND(Z21&lt;&gt;"",AA21&lt;&gt;"",Z21=AA21)</formula>
    </cfRule>
  </conditionalFormatting>
  <conditionalFormatting sqref="Z21:AA36">
    <cfRule type="expression" dxfId="35" priority="35">
      <formula>ISTEXT(Z21)</formula>
    </cfRule>
  </conditionalFormatting>
  <conditionalFormatting sqref="Y21:Y36">
    <cfRule type="expression" dxfId="34" priority="36">
      <formula>AND(Z21&lt;&gt;"",AA21&lt;&gt;"",Z21+AC21&gt;AA21+AD21)</formula>
    </cfRule>
  </conditionalFormatting>
  <conditionalFormatting sqref="AB21:AB36">
    <cfRule type="expression" dxfId="33" priority="37">
      <formula>AND(Z21&lt;&gt;"",AA21&lt;&gt;"",Z21+AC21&lt;AA21+AD21)</formula>
    </cfRule>
  </conditionalFormatting>
  <conditionalFormatting sqref="Y9:Y11">
    <cfRule type="expression" dxfId="32" priority="33">
      <formula>Y9=$F9</formula>
    </cfRule>
  </conditionalFormatting>
  <conditionalFormatting sqref="Z12 Y9:Z11">
    <cfRule type="expression" dxfId="31" priority="34">
      <formula>MATCH(Y9,Qualified,0)</formula>
    </cfRule>
  </conditionalFormatting>
  <conditionalFormatting sqref="Z9:Z12">
    <cfRule type="expression" dxfId="30" priority="32">
      <formula>Z9=$I9</formula>
    </cfRule>
  </conditionalFormatting>
  <conditionalFormatting sqref="Z9:Z11">
    <cfRule type="expression" dxfId="29" priority="31">
      <formula>Z9=$F9</formula>
    </cfRule>
  </conditionalFormatting>
  <conditionalFormatting sqref="Y12">
    <cfRule type="expression" dxfId="28" priority="30">
      <formula>MATCH(Y12,Qualified,0)</formula>
    </cfRule>
  </conditionalFormatting>
  <conditionalFormatting sqref="Y12">
    <cfRule type="expression" dxfId="27" priority="29">
      <formula>Y12=$I12</formula>
    </cfRule>
  </conditionalFormatting>
  <conditionalFormatting sqref="Y9:Y11">
    <cfRule type="expression" dxfId="26" priority="28">
      <formula>Y9=$I9</formula>
    </cfRule>
  </conditionalFormatting>
  <conditionalFormatting sqref="Y9:Y11">
    <cfRule type="expression" dxfId="25" priority="27">
      <formula>Y9=$F9</formula>
    </cfRule>
  </conditionalFormatting>
  <conditionalFormatting sqref="AJ37:AQ37 AU37:BB37 BF37:BM37">
    <cfRule type="expression" dxfId="24" priority="26">
      <formula>KOMatchRule=1</formula>
    </cfRule>
  </conditionalFormatting>
  <conditionalFormatting sqref="AJ13:AJ16 AU13:AU16 BF13:BF16">
    <cfRule type="expression" dxfId="23" priority="24">
      <formula>AJ13=$F13</formula>
    </cfRule>
  </conditionalFormatting>
  <conditionalFormatting sqref="AM13:AM16 AX13:AX16 BI13:BI16">
    <cfRule type="expression" dxfId="22" priority="23">
      <formula>AM13=$I13</formula>
    </cfRule>
  </conditionalFormatting>
  <conditionalFormatting sqref="AJ13:AM16 AU13:AX16 BF13:BI16">
    <cfRule type="expression" dxfId="21" priority="25">
      <formula>MATCH(AJ13,Qualified,0)</formula>
    </cfRule>
  </conditionalFormatting>
  <conditionalFormatting sqref="AN21:AO36 AY21:AZ36 BJ21:BK36">
    <cfRule type="expression" dxfId="20" priority="20">
      <formula>ISTEXT(AN21)</formula>
    </cfRule>
  </conditionalFormatting>
  <conditionalFormatting sqref="AN21:AN36 AY21:AY36 BJ21:BJ36">
    <cfRule type="expression" dxfId="19" priority="22">
      <formula>AND(AK21&lt;&gt;"",AL21&lt;&gt;"",AK21=AL21)</formula>
    </cfRule>
  </conditionalFormatting>
  <conditionalFormatting sqref="AO21:AO36 AZ21:AZ36 BK21:BK36">
    <cfRule type="expression" dxfId="18" priority="21">
      <formula>AND(AK21&lt;&gt;"",AL21&lt;&gt;"",AK21=AL21)</formula>
    </cfRule>
  </conditionalFormatting>
  <conditionalFormatting sqref="AK21:AL36 AV21:AW36 BG21:BH36">
    <cfRule type="expression" dxfId="17" priority="17">
      <formula>ISTEXT(AK21)</formula>
    </cfRule>
  </conditionalFormatting>
  <conditionalFormatting sqref="AJ21:AJ36 AU21:AU36 BF21:BF36">
    <cfRule type="expression" dxfId="16" priority="18">
      <formula>AND(AK21&lt;&gt;"",AL21&lt;&gt;"",AK21+AN21&gt;AL21+AO21)</formula>
    </cfRule>
  </conditionalFormatting>
  <conditionalFormatting sqref="AM21:AM36 AX21:AX36 BI21:BI36">
    <cfRule type="expression" dxfId="15" priority="19">
      <formula>AND(AK21&lt;&gt;"",AL21&lt;&gt;"",AK21+AN21&lt;AL21+AO21)</formula>
    </cfRule>
  </conditionalFormatting>
  <conditionalFormatting sqref="AJ9:AJ11 AU9:AU11 BF9:BF11">
    <cfRule type="expression" dxfId="14" priority="7">
      <formula>AJ9=$F9</formula>
    </cfRule>
  </conditionalFormatting>
  <conditionalFormatting sqref="AK12 AV12 BG12 AJ9:AK11 AU9:AV11 BF9:BG11">
    <cfRule type="expression" dxfId="13" priority="8">
      <formula>MATCH(AJ9,Qualified,0)</formula>
    </cfRule>
  </conditionalFormatting>
  <conditionalFormatting sqref="AK9:AK12 AV9:AV12 BG9:BG12">
    <cfRule type="expression" dxfId="12" priority="6">
      <formula>AK9=$I9</formula>
    </cfRule>
  </conditionalFormatting>
  <conditionalFormatting sqref="AK9:AK11 AV9:AV11 BG9:BG11">
    <cfRule type="expression" dxfId="11" priority="5">
      <formula>AK9=$F9</formula>
    </cfRule>
  </conditionalFormatting>
  <conditionalFormatting sqref="AJ12 AU12 BF12">
    <cfRule type="expression" dxfId="10" priority="4">
      <formula>MATCH(AJ12,Qualified,0)</formula>
    </cfRule>
  </conditionalFormatting>
  <conditionalFormatting sqref="AJ12 AU12 BF12">
    <cfRule type="expression" dxfId="9" priority="3">
      <formula>AJ12=$I12</formula>
    </cfRule>
  </conditionalFormatting>
  <conditionalFormatting sqref="AJ9:AJ11 AU9:AU11 BF9:BF11">
    <cfRule type="expression" dxfId="8" priority="2">
      <formula>AJ9=$I9</formula>
    </cfRule>
  </conditionalFormatting>
  <conditionalFormatting sqref="AJ9:AJ11 AU9:AU11 BF9:BF11">
    <cfRule type="expression" dxfId="7" priority="1">
      <formula>AJ9=$F9</formula>
    </cfRule>
  </conditionalFormatting>
  <dataValidations count="3">
    <dataValidation type="list" allowBlank="1" showInputMessage="1" showErrorMessage="1" sqref="G42:I42 O42:Q42 AK42:AM42 AV42:AX42 BG42:BI42 Z42:AB42">
      <formula1>BestPlayer</formula1>
    </dataValidation>
    <dataValidation type="list" allowBlank="1" showInputMessage="1" showErrorMessage="1" sqref="G43:I43 O43:Q43 AK43:AM43 AV43:AX43 BG43:BI43 Z43:AB43">
      <formula1>TopScorer</formula1>
    </dataValidation>
    <dataValidation type="list" allowBlank="1" showInputMessage="1" showErrorMessage="1" sqref="O38:Q40 Z38:AB40 AK38:AM40 AV38:AX40 BG38:BI40">
      <formula1>Qualified</formula1>
    </dataValidation>
  </dataValidations>
  <pageMargins left="0.2" right="0.2" top="0.25" bottom="0.2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N149"/>
  <sheetViews>
    <sheetView showGridLines="0" zoomScaleNormal="100" workbookViewId="0">
      <selection activeCell="K7" sqref="K7:K8"/>
    </sheetView>
  </sheetViews>
  <sheetFormatPr defaultColWidth="0" defaultRowHeight="14.4" zeroHeight="1" x14ac:dyDescent="0.3"/>
  <cols>
    <col min="1" max="1" width="2.109375" style="107" customWidth="1"/>
    <col min="2" max="2" width="5.109375" style="9" customWidth="1"/>
    <col min="3" max="3" width="26.44140625" style="108" customWidth="1"/>
    <col min="4" max="12" width="9.6640625" style="108" customWidth="1"/>
    <col min="13" max="28" width="9.109375" style="108" customWidth="1"/>
    <col min="29" max="29" width="2.109375" style="108" customWidth="1"/>
    <col min="30" max="92" width="0" style="108" hidden="1" customWidth="1"/>
    <col min="93" max="16384" width="8.77734375" style="108" hidden="1"/>
  </cols>
  <sheetData>
    <row r="1" spans="1:41" x14ac:dyDescent="0.3"/>
    <row r="2" spans="1:41" x14ac:dyDescent="0.3"/>
    <row r="3" spans="1:41" s="8" customFormat="1" ht="14.55" customHeight="1" x14ac:dyDescent="0.3">
      <c r="A3" s="109"/>
      <c r="B3" s="235" t="s">
        <v>50</v>
      </c>
      <c r="C3" s="236"/>
      <c r="D3" s="236"/>
      <c r="E3" s="236"/>
      <c r="F3" s="236"/>
      <c r="G3" s="236"/>
      <c r="H3" s="236"/>
      <c r="I3" s="236"/>
      <c r="J3" s="236"/>
      <c r="K3" s="236"/>
      <c r="L3" s="148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1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</row>
    <row r="4" spans="1:41" s="8" customFormat="1" ht="14.55" customHeight="1" x14ac:dyDescent="0.3">
      <c r="A4" s="109"/>
      <c r="B4" s="237"/>
      <c r="C4" s="238"/>
      <c r="D4" s="238"/>
      <c r="E4" s="238"/>
      <c r="F4" s="238"/>
      <c r="G4" s="238"/>
      <c r="H4" s="238"/>
      <c r="I4" s="238"/>
      <c r="J4" s="238"/>
      <c r="K4" s="238"/>
      <c r="L4" s="113">
        <v>0</v>
      </c>
      <c r="M4" s="114" t="s">
        <v>51</v>
      </c>
      <c r="N4" s="115"/>
      <c r="O4" s="115"/>
      <c r="P4" s="115"/>
      <c r="Q4" s="115"/>
      <c r="R4" s="115"/>
      <c r="S4" s="115"/>
      <c r="T4" s="116"/>
      <c r="U4" s="114" t="s">
        <v>52</v>
      </c>
      <c r="V4" s="115"/>
      <c r="W4" s="115"/>
      <c r="X4" s="116"/>
      <c r="Y4" s="114" t="s">
        <v>53</v>
      </c>
      <c r="Z4" s="115"/>
      <c r="AA4" s="138" t="s">
        <v>48</v>
      </c>
      <c r="AB4" s="117" t="s">
        <v>7</v>
      </c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</row>
    <row r="5" spans="1:41" s="112" customFormat="1" ht="14.55" customHeight="1" x14ac:dyDescent="0.3">
      <c r="A5" s="118"/>
      <c r="B5" s="240" t="s">
        <v>45</v>
      </c>
      <c r="C5" s="240" t="s">
        <v>54</v>
      </c>
      <c r="D5" s="240" t="s">
        <v>55</v>
      </c>
      <c r="E5" s="240" t="s">
        <v>56</v>
      </c>
      <c r="F5" s="240" t="s">
        <v>57</v>
      </c>
      <c r="G5" s="240" t="s">
        <v>58</v>
      </c>
      <c r="H5" s="240" t="s">
        <v>14</v>
      </c>
      <c r="I5" s="240"/>
      <c r="J5" s="242" t="s">
        <v>32</v>
      </c>
      <c r="K5" s="242"/>
      <c r="L5" s="243"/>
      <c r="M5" s="119">
        <v>1</v>
      </c>
      <c r="N5" s="119">
        <v>2</v>
      </c>
      <c r="O5" s="147">
        <v>3</v>
      </c>
      <c r="P5" s="147">
        <v>4</v>
      </c>
      <c r="Q5" s="147">
        <v>5</v>
      </c>
      <c r="R5" s="147">
        <v>6</v>
      </c>
      <c r="S5" s="147">
        <v>7</v>
      </c>
      <c r="T5" s="147">
        <v>8</v>
      </c>
      <c r="U5" s="147">
        <v>9</v>
      </c>
      <c r="V5" s="147">
        <v>10</v>
      </c>
      <c r="W5" s="147">
        <v>11</v>
      </c>
      <c r="X5" s="147">
        <v>12</v>
      </c>
      <c r="Y5" s="147">
        <v>13</v>
      </c>
      <c r="Z5" s="147">
        <v>14</v>
      </c>
      <c r="AA5" s="147">
        <v>15</v>
      </c>
      <c r="AB5" s="147">
        <v>16</v>
      </c>
    </row>
    <row r="6" spans="1:41" s="112" customFormat="1" ht="14.55" customHeight="1" x14ac:dyDescent="0.3">
      <c r="A6" s="118"/>
      <c r="B6" s="240"/>
      <c r="C6" s="240"/>
      <c r="D6" s="240"/>
      <c r="E6" s="240"/>
      <c r="F6" s="240"/>
      <c r="G6" s="240"/>
      <c r="H6" s="240" t="s">
        <v>157</v>
      </c>
      <c r="I6" s="239" t="s">
        <v>75</v>
      </c>
      <c r="J6" s="241" t="str">
        <f>Setup!H6</f>
        <v>Player's Prediction</v>
      </c>
      <c r="K6" s="242"/>
      <c r="L6" s="243"/>
      <c r="M6" s="120">
        <f t="shared" ref="M6:T6" si="0">Round1</f>
        <v>200</v>
      </c>
      <c r="N6" s="120">
        <f t="shared" si="0"/>
        <v>200</v>
      </c>
      <c r="O6" s="120">
        <f t="shared" si="0"/>
        <v>200</v>
      </c>
      <c r="P6" s="120">
        <f t="shared" si="0"/>
        <v>200</v>
      </c>
      <c r="Q6" s="120">
        <f t="shared" si="0"/>
        <v>200</v>
      </c>
      <c r="R6" s="120">
        <f t="shared" si="0"/>
        <v>200</v>
      </c>
      <c r="S6" s="120">
        <f t="shared" si="0"/>
        <v>200</v>
      </c>
      <c r="T6" s="120">
        <f t="shared" si="0"/>
        <v>200</v>
      </c>
      <c r="U6" s="120">
        <f>Quar1</f>
        <v>400</v>
      </c>
      <c r="V6" s="120">
        <f>Quar1</f>
        <v>400</v>
      </c>
      <c r="W6" s="120">
        <f>Quar1</f>
        <v>400</v>
      </c>
      <c r="X6" s="120">
        <f>Quar1</f>
        <v>400</v>
      </c>
      <c r="Y6" s="120">
        <f>Semi1</f>
        <v>800</v>
      </c>
      <c r="Z6" s="120">
        <f>Semi1</f>
        <v>800</v>
      </c>
      <c r="AA6" s="120">
        <f>Thir1</f>
        <v>800</v>
      </c>
      <c r="AB6" s="120">
        <f>Fina1</f>
        <v>1600</v>
      </c>
    </row>
    <row r="7" spans="1:41" s="112" customFormat="1" ht="28.8" x14ac:dyDescent="0.3">
      <c r="A7" s="118"/>
      <c r="B7" s="240"/>
      <c r="C7" s="240"/>
      <c r="D7" s="240"/>
      <c r="E7" s="240"/>
      <c r="F7" s="240"/>
      <c r="G7" s="240"/>
      <c r="H7" s="240"/>
      <c r="I7" s="239"/>
      <c r="J7" s="244" t="s">
        <v>73</v>
      </c>
      <c r="K7" s="244" t="s">
        <v>74</v>
      </c>
      <c r="L7" s="244" t="s">
        <v>75</v>
      </c>
      <c r="M7" s="119" t="str">
        <f ca="1">LEFT(OFFSET('All Players Board'!$F$21,M$5-1,0),3)&amp;" - "&amp;LEFT(OFFSET('All Players Board'!$I$21,M$5-1,0),3)</f>
        <v>Uru - Por</v>
      </c>
      <c r="N7" s="147" t="str">
        <f ca="1">LEFT(OFFSET('All Players Board'!$F$21,N$5-1,0),3)&amp;" - "&amp;LEFT(OFFSET('All Players Board'!$I$21,N$5-1,0),3)</f>
        <v>Fra - Arg</v>
      </c>
      <c r="O7" s="147" t="str">
        <f ca="1">LEFT(OFFSET('All Players Board'!$F$21,O$5-1,0),3)&amp;" - "&amp;LEFT(OFFSET('All Players Board'!$I$21,O$5-1,0),3)</f>
        <v>Spa - Rus</v>
      </c>
      <c r="P7" s="147" t="str">
        <f ca="1">LEFT(OFFSET('All Players Board'!$F$21,P$5-1,0),3)&amp;" - "&amp;LEFT(OFFSET('All Players Board'!$I$21,P$5-1,0),3)</f>
        <v>Cro - Den</v>
      </c>
      <c r="Q7" s="147" t="str">
        <f ca="1">LEFT(OFFSET('All Players Board'!$F$21,Q$5-1,0),3)&amp;" - "&amp;LEFT(OFFSET('All Players Board'!$I$21,Q$5-1,0),3)</f>
        <v>Swe - F R</v>
      </c>
      <c r="R7" s="147" t="str">
        <f ca="1">LEFT(OFFSET('All Players Board'!$F$21,R$5-1,0),3)&amp;" - "&amp;LEFT(OFFSET('All Players Board'!$I$21,R$5-1,0),3)</f>
        <v>G W - H R</v>
      </c>
      <c r="S7" s="147" t="str">
        <f ca="1">LEFT(OFFSET('All Players Board'!$F$21,S$5-1,0),3)&amp;" - "&amp;LEFT(OFFSET('All Players Board'!$I$21,S$5-1,0),3)</f>
        <v>F W - Mex</v>
      </c>
      <c r="T7" s="147" t="str">
        <f ca="1">LEFT(OFFSET('All Players Board'!$F$21,T$5-1,0),3)&amp;" - "&amp;LEFT(OFFSET('All Players Board'!$I$21,T$5-1,0),3)</f>
        <v>H W - G R</v>
      </c>
      <c r="U7" s="147" t="str">
        <f ca="1">LEFT(OFFSET('All Players Board'!$F$21,U$5-1,0),3)&amp;" - "&amp;LEFT(OFFSET('All Players Board'!$I$21,U$5-1,0),3)</f>
        <v>Mat - Mat</v>
      </c>
      <c r="V7" s="147" t="str">
        <f ca="1">LEFT(OFFSET('All Players Board'!$F$21,V$5-1,0),3)&amp;" - "&amp;LEFT(OFFSET('All Players Board'!$I$21,V$5-1,0),3)</f>
        <v>Mat - Mat</v>
      </c>
      <c r="W7" s="147" t="str">
        <f ca="1">LEFT(OFFSET('All Players Board'!$F$21,W$5-1,0),3)&amp;" - "&amp;LEFT(OFFSET('All Players Board'!$I$21,W$5-1,0),3)</f>
        <v>Mat - Mat</v>
      </c>
      <c r="X7" s="147" t="str">
        <f ca="1">LEFT(OFFSET('All Players Board'!$F$21,X$5-1,0),3)&amp;" - "&amp;LEFT(OFFSET('All Players Board'!$I$21,X$5-1,0),3)</f>
        <v>Mat - Mat</v>
      </c>
      <c r="Y7" s="147" t="str">
        <f ca="1">LEFT(OFFSET('All Players Board'!$F$21,Y$5-1,0),3)&amp;" - "&amp;LEFT(OFFSET('All Players Board'!$I$21,Y$5-1,0),3)</f>
        <v>Mat - Mat</v>
      </c>
      <c r="Z7" s="147" t="str">
        <f ca="1">LEFT(OFFSET('All Players Board'!$F$21,Z$5-1,0),3)&amp;" - "&amp;LEFT(OFFSET('All Players Board'!$I$21,Z$5-1,0),3)</f>
        <v>Mat - Mat</v>
      </c>
      <c r="AA7" s="147" t="str">
        <f ca="1">LEFT(OFFSET('All Players Board'!$F$21,AA$5-1,0),3)&amp;" - "&amp;LEFT(OFFSET('All Players Board'!$I$21,AA$5-1,0),3)</f>
        <v>Mat - Mat</v>
      </c>
      <c r="AB7" s="147" t="str">
        <f ca="1">LEFT(OFFSET('All Players Board'!$F$21,AB$5-1,0),3)&amp;" - "&amp;LEFT(OFFSET('All Players Board'!$I$21,AB$5-1,0),3)</f>
        <v>Mat - Mat</v>
      </c>
    </row>
    <row r="8" spans="1:41" s="112" customFormat="1" x14ac:dyDescent="0.3">
      <c r="A8" s="118"/>
      <c r="B8" s="240"/>
      <c r="C8" s="240"/>
      <c r="D8" s="240"/>
      <c r="E8" s="240"/>
      <c r="F8" s="240"/>
      <c r="G8" s="240"/>
      <c r="H8" s="240"/>
      <c r="I8" s="239"/>
      <c r="J8" s="245"/>
      <c r="K8" s="245"/>
      <c r="L8" s="245"/>
      <c r="M8" s="147" t="str">
        <f ca="1">LEFT(OFFSET('All Players Board'!$G$21,M$5-1,0),3)&amp;" - "&amp;LEFT(OFFSET('All Players Board'!$H$21,M$5-1,0),3)</f>
        <v xml:space="preserve"> - </v>
      </c>
      <c r="N8" s="147" t="str">
        <f ca="1">LEFT(OFFSET('All Players Board'!$G$21,N$5-1,0),3)&amp;" - "&amp;LEFT(OFFSET('All Players Board'!$H$21,N$5-1,0),3)</f>
        <v xml:space="preserve"> - </v>
      </c>
      <c r="O8" s="147" t="str">
        <f ca="1">LEFT(OFFSET('All Players Board'!$G$21,O$5-1,0),3)&amp;" - "&amp;LEFT(OFFSET('All Players Board'!$H$21,O$5-1,0),3)</f>
        <v xml:space="preserve"> - </v>
      </c>
      <c r="P8" s="147" t="str">
        <f ca="1">LEFT(OFFSET('All Players Board'!$G$21,P$5-1,0),3)&amp;" - "&amp;LEFT(OFFSET('All Players Board'!$H$21,P$5-1,0),3)</f>
        <v xml:space="preserve"> - </v>
      </c>
      <c r="Q8" s="147" t="str">
        <f ca="1">LEFT(OFFSET('All Players Board'!$G$21,Q$5-1,0),3)&amp;" - "&amp;LEFT(OFFSET('All Players Board'!$H$21,Q$5-1,0),3)</f>
        <v xml:space="preserve"> - </v>
      </c>
      <c r="R8" s="147" t="str">
        <f ca="1">LEFT(OFFSET('All Players Board'!$G$21,R$5-1,0),3)&amp;" - "&amp;LEFT(OFFSET('All Players Board'!$H$21,R$5-1,0),3)</f>
        <v xml:space="preserve"> - </v>
      </c>
      <c r="S8" s="147" t="str">
        <f ca="1">LEFT(OFFSET('All Players Board'!$G$21,S$5-1,0),3)&amp;" - "&amp;LEFT(OFFSET('All Players Board'!$H$21,S$5-1,0),3)</f>
        <v xml:space="preserve"> - </v>
      </c>
      <c r="T8" s="147" t="str">
        <f ca="1">LEFT(OFFSET('All Players Board'!$G$21,T$5-1,0),3)&amp;" - "&amp;LEFT(OFFSET('All Players Board'!$H$21,T$5-1,0),3)</f>
        <v xml:space="preserve"> - </v>
      </c>
      <c r="U8" s="147" t="str">
        <f ca="1">LEFT(OFFSET('All Players Board'!$G$21,U$5-1,0),3)&amp;" - "&amp;LEFT(OFFSET('All Players Board'!$H$21,U$5-1,0),3)</f>
        <v xml:space="preserve"> - </v>
      </c>
      <c r="V8" s="147" t="str">
        <f ca="1">LEFT(OFFSET('All Players Board'!$G$21,V$5-1,0),3)&amp;" - "&amp;LEFT(OFFSET('All Players Board'!$H$21,V$5-1,0),3)</f>
        <v xml:space="preserve"> - </v>
      </c>
      <c r="W8" s="147" t="str">
        <f ca="1">LEFT(OFFSET('All Players Board'!$G$21,W$5-1,0),3)&amp;" - "&amp;LEFT(OFFSET('All Players Board'!$H$21,W$5-1,0),3)</f>
        <v xml:space="preserve"> - </v>
      </c>
      <c r="X8" s="147" t="str">
        <f ca="1">LEFT(OFFSET('All Players Board'!$G$21,X$5-1,0),3)&amp;" - "&amp;LEFT(OFFSET('All Players Board'!$H$21,X$5-1,0),3)</f>
        <v xml:space="preserve"> - </v>
      </c>
      <c r="Y8" s="147" t="str">
        <f ca="1">LEFT(OFFSET('All Players Board'!$G$21,Y$5-1,0),3)&amp;" - "&amp;LEFT(OFFSET('All Players Board'!$H$21,Y$5-1,0),3)</f>
        <v xml:space="preserve"> - </v>
      </c>
      <c r="Z8" s="147" t="str">
        <f ca="1">LEFT(OFFSET('All Players Board'!$G$21,Z$5-1,0),3)&amp;" - "&amp;LEFT(OFFSET('All Players Board'!$H$21,Z$5-1,0),3)</f>
        <v xml:space="preserve"> - </v>
      </c>
      <c r="AA8" s="147" t="str">
        <f ca="1">LEFT(OFFSET('All Players Board'!$G$21,AA$5-1,0),3)&amp;" - "&amp;LEFT(OFFSET('All Players Board'!$H$21,AA$5-1,0),3)</f>
        <v xml:space="preserve"> - </v>
      </c>
      <c r="AB8" s="147" t="str">
        <f ca="1">LEFT(OFFSET('All Players Board'!$G$21,AB$5-1,0),3)&amp;" - "&amp;LEFT(OFFSET('All Players Board'!$H$21,AB$5-1,0),3)</f>
        <v xml:space="preserve"> - </v>
      </c>
    </row>
    <row r="9" spans="1:41" ht="15.6" x14ac:dyDescent="0.3">
      <c r="A9" s="107">
        <v>0</v>
      </c>
      <c r="B9" s="121">
        <v>1</v>
      </c>
      <c r="C9" s="126" t="s">
        <v>59</v>
      </c>
      <c r="D9" s="122">
        <f ca="1">IFERROR(E9+F9,"")</f>
        <v>0</v>
      </c>
      <c r="E9" s="122">
        <f t="shared" ref="E9:E13" ca="1" si="1">IFERROR(H9+J9,"")</f>
        <v>0</v>
      </c>
      <c r="F9" s="122">
        <f>K9</f>
        <v>0</v>
      </c>
      <c r="G9" s="122">
        <f t="shared" ref="G9:G13" ca="1" si="2">IFERROR(I9+L9,"")</f>
        <v>0</v>
      </c>
      <c r="H9" s="126"/>
      <c r="I9" s="126"/>
      <c r="J9" s="123">
        <f ca="1">IF($C9&lt;&gt;"",OFFSET('All Players Board'!$U$5,M$5-1,$A9),0)</f>
        <v>0</v>
      </c>
      <c r="K9" s="189"/>
      <c r="L9" s="121">
        <f ca="1">IF($C9&lt;&gt;"",OFFSET('All Players Board'!$M$40,M$5-1,$A9),0)</f>
        <v>0</v>
      </c>
      <c r="M9" s="123">
        <f ca="1">IF($C9&lt;&gt;"",IF(ViewBoard=1,OFFSET('All Players Board'!$O$21,M$5-1,$A9)&amp;" - "&amp;OFFSET('All Players Board'!$P$21,M$5-1,$A9),OFFSET('All Players Board'!$U$21,M$5-1,$A9)),"")</f>
        <v>0</v>
      </c>
      <c r="N9" s="123">
        <f ca="1">IF($C9&lt;&gt;"",IF(ViewBoard=1,OFFSET('All Players Board'!$O$21,N$5-1,$A9)&amp;" - "&amp;OFFSET('All Players Board'!$P$21,N$5-1,$A9),OFFSET('All Players Board'!$U$21,N$5-1,$A9)),"")</f>
        <v>0</v>
      </c>
      <c r="O9" s="123">
        <f ca="1">IF($C9&lt;&gt;"",IF(ViewBoard=1,OFFSET('All Players Board'!$O$21,O$5-1,$A9)&amp;" - "&amp;OFFSET('All Players Board'!$P$21,O$5-1,$A9),OFFSET('All Players Board'!$U$21,O$5-1,$A9)),"")</f>
        <v>0</v>
      </c>
      <c r="P9" s="123">
        <f ca="1">IF($C9&lt;&gt;"",IF(ViewBoard=1,OFFSET('All Players Board'!$O$21,P$5-1,$A9)&amp;" - "&amp;OFFSET('All Players Board'!$P$21,P$5-1,$A9),OFFSET('All Players Board'!$U$21,P$5-1,$A9)),"")</f>
        <v>0</v>
      </c>
      <c r="Q9" s="123">
        <f ca="1">IF($C9&lt;&gt;"",IF(ViewBoard=1,OFFSET('All Players Board'!$O$21,Q$5-1,$A9)&amp;" - "&amp;OFFSET('All Players Board'!$P$21,Q$5-1,$A9),OFFSET('All Players Board'!$U$21,Q$5-1,$A9)),"")</f>
        <v>0</v>
      </c>
      <c r="R9" s="123">
        <f ca="1">IF($C9&lt;&gt;"",IF(ViewBoard=1,OFFSET('All Players Board'!$O$21,R$5-1,$A9)&amp;" - "&amp;OFFSET('All Players Board'!$P$21,R$5-1,$A9),OFFSET('All Players Board'!$U$21,R$5-1,$A9)),"")</f>
        <v>0</v>
      </c>
      <c r="S9" s="123">
        <f ca="1">IF($C9&lt;&gt;"",IF(ViewBoard=1,OFFSET('All Players Board'!$O$21,S$5-1,$A9)&amp;" - "&amp;OFFSET('All Players Board'!$P$21,S$5-1,$A9),OFFSET('All Players Board'!$U$21,S$5-1,$A9)),"")</f>
        <v>0</v>
      </c>
      <c r="T9" s="123">
        <f ca="1">IF($C9&lt;&gt;"",IF(ViewBoard=1,OFFSET('All Players Board'!$O$21,T$5-1,$A9)&amp;" - "&amp;OFFSET('All Players Board'!$P$21,T$5-1,$A9),OFFSET('All Players Board'!$U$21,T$5-1,$A9)),"")</f>
        <v>0</v>
      </c>
      <c r="U9" s="123">
        <f ca="1">IF($C9&lt;&gt;"",IF(ViewBoard=1,OFFSET('All Players Board'!$O$21,U$5-1,$A9)&amp;" - "&amp;OFFSET('All Players Board'!$P$21,U$5-1,$A9),OFFSET('All Players Board'!$U$21,U$5-1,$A9)),"")</f>
        <v>0</v>
      </c>
      <c r="V9" s="123">
        <f ca="1">IF($C9&lt;&gt;"",IF(ViewBoard=1,OFFSET('All Players Board'!$O$21,V$5-1,$A9)&amp;" - "&amp;OFFSET('All Players Board'!$P$21,V$5-1,$A9),OFFSET('All Players Board'!$U$21,V$5-1,$A9)),"")</f>
        <v>0</v>
      </c>
      <c r="W9" s="123">
        <f ca="1">IF($C9&lt;&gt;"",IF(ViewBoard=1,OFFSET('All Players Board'!$O$21,W$5-1,$A9)&amp;" - "&amp;OFFSET('All Players Board'!$P$21,W$5-1,$A9),OFFSET('All Players Board'!$U$21,W$5-1,$A9)),"")</f>
        <v>0</v>
      </c>
      <c r="X9" s="123">
        <f ca="1">IF($C9&lt;&gt;"",IF(ViewBoard=1,OFFSET('All Players Board'!$O$21,X$5-1,$A9)&amp;" - "&amp;OFFSET('All Players Board'!$P$21,X$5-1,$A9),OFFSET('All Players Board'!$U$21,X$5-1,$A9)),"")</f>
        <v>0</v>
      </c>
      <c r="Y9" s="123">
        <f ca="1">IF($C9&lt;&gt;"",IF(ViewBoard=1,OFFSET('All Players Board'!$O$21,Y$5-1,$A9)&amp;" - "&amp;OFFSET('All Players Board'!$P$21,Y$5-1,$A9),OFFSET('All Players Board'!$U$21,Y$5-1,$A9)),"")</f>
        <v>0</v>
      </c>
      <c r="Z9" s="123">
        <f ca="1">IF($C9&lt;&gt;"",IF(ViewBoard=1,OFFSET('All Players Board'!$O$21,Z$5-1,$A9)&amp;" - "&amp;OFFSET('All Players Board'!$P$21,Z$5-1,$A9),OFFSET('All Players Board'!$U$21,Z$5-1,$A9)),"")</f>
        <v>0</v>
      </c>
      <c r="AA9" s="123">
        <f ca="1">IF($C9&lt;&gt;"",IF(ViewBoard=1,OFFSET('All Players Board'!$O$21,AA$5-1,$A9)&amp;" - "&amp;OFFSET('All Players Board'!$P$21,AA$5-1,$A9),OFFSET('All Players Board'!$U$21,AA$5-1,$A9)),"")</f>
        <v>0</v>
      </c>
      <c r="AB9" s="123">
        <f ca="1">IF($C9&lt;&gt;"",IF(ViewBoard=1,OFFSET('All Players Board'!$O$21,AB$5-1,$A9)&amp;" - "&amp;OFFSET('All Players Board'!$P$21,AB$5-1,$A9),OFFSET('All Players Board'!$U$21,AB$5-1,$A9)),"")</f>
        <v>0</v>
      </c>
    </row>
    <row r="10" spans="1:41" ht="16.05" customHeight="1" x14ac:dyDescent="0.3">
      <c r="A10" s="107">
        <f>A9+11</f>
        <v>11</v>
      </c>
      <c r="B10" s="121">
        <v>2</v>
      </c>
      <c r="C10" s="126" t="s">
        <v>60</v>
      </c>
      <c r="D10" s="122">
        <f t="shared" ref="D10:D13" ca="1" si="3">IFERROR(E10+F10,"")</f>
        <v>0</v>
      </c>
      <c r="E10" s="122">
        <f t="shared" ca="1" si="1"/>
        <v>0</v>
      </c>
      <c r="F10" s="122">
        <f t="shared" ref="F10:F13" si="4">K10</f>
        <v>0</v>
      </c>
      <c r="G10" s="122">
        <f t="shared" ca="1" si="2"/>
        <v>0</v>
      </c>
      <c r="H10" s="126"/>
      <c r="I10" s="126"/>
      <c r="J10" s="123">
        <f ca="1">IF($C10&lt;&gt;"",OFFSET('All Players Board'!$U$5,M$5-1,$A10),0)</f>
        <v>0</v>
      </c>
      <c r="K10" s="189"/>
      <c r="L10" s="121">
        <f ca="1">IF($C10&lt;&gt;"",OFFSET('All Players Board'!$M$40,M$5-1,$A10),0)</f>
        <v>0</v>
      </c>
      <c r="M10" s="123">
        <f ca="1">IF($C10&lt;&gt;"",IF(ViewBoard=1,OFFSET('All Players Board'!$O$21,M$5-1,$A10)&amp;" - "&amp;OFFSET('All Players Board'!$P$21,M$5-1,$A10),OFFSET('All Players Board'!$U$21,M$5-1,$A10)),"")</f>
        <v>0</v>
      </c>
      <c r="N10" s="123">
        <f ca="1">IF($C10&lt;&gt;"",IF(ViewBoard=1,OFFSET('All Players Board'!$O$21,N$5-1,$A10)&amp;" - "&amp;OFFSET('All Players Board'!$P$21,N$5-1,$A10),OFFSET('All Players Board'!$U$21,N$5-1,$A10)),"")</f>
        <v>0</v>
      </c>
      <c r="O10" s="123">
        <f ca="1">IF($C10&lt;&gt;"",IF(ViewBoard=1,OFFSET('All Players Board'!$O$21,O$5-1,$A10)&amp;" - "&amp;OFFSET('All Players Board'!$P$21,O$5-1,$A10),OFFSET('All Players Board'!$U$21,O$5-1,$A10)),"")</f>
        <v>0</v>
      </c>
      <c r="P10" s="123">
        <f ca="1">IF($C10&lt;&gt;"",IF(ViewBoard=1,OFFSET('All Players Board'!$O$21,P$5-1,$A10)&amp;" - "&amp;OFFSET('All Players Board'!$P$21,P$5-1,$A10),OFFSET('All Players Board'!$U$21,P$5-1,$A10)),"")</f>
        <v>0</v>
      </c>
      <c r="Q10" s="123">
        <f ca="1">IF($C10&lt;&gt;"",IF(ViewBoard=1,OFFSET('All Players Board'!$O$21,Q$5-1,$A10)&amp;" - "&amp;OFFSET('All Players Board'!$P$21,Q$5-1,$A10),OFFSET('All Players Board'!$U$21,Q$5-1,$A10)),"")</f>
        <v>0</v>
      </c>
      <c r="R10" s="123">
        <f ca="1">IF($C10&lt;&gt;"",IF(ViewBoard=1,OFFSET('All Players Board'!$O$21,R$5-1,$A10)&amp;" - "&amp;OFFSET('All Players Board'!$P$21,R$5-1,$A10),OFFSET('All Players Board'!$U$21,R$5-1,$A10)),"")</f>
        <v>0</v>
      </c>
      <c r="S10" s="123">
        <f ca="1">IF($C10&lt;&gt;"",IF(ViewBoard=1,OFFSET('All Players Board'!$O$21,S$5-1,$A10)&amp;" - "&amp;OFFSET('All Players Board'!$P$21,S$5-1,$A10),OFFSET('All Players Board'!$U$21,S$5-1,$A10)),"")</f>
        <v>0</v>
      </c>
      <c r="T10" s="123">
        <f ca="1">IF($C10&lt;&gt;"",IF(ViewBoard=1,OFFSET('All Players Board'!$O$21,T$5-1,$A10)&amp;" - "&amp;OFFSET('All Players Board'!$P$21,T$5-1,$A10),OFFSET('All Players Board'!$U$21,T$5-1,$A10)),"")</f>
        <v>0</v>
      </c>
      <c r="U10" s="123">
        <f ca="1">IF($C10&lt;&gt;"",IF(ViewBoard=1,OFFSET('All Players Board'!$O$21,U$5-1,$A10)&amp;" - "&amp;OFFSET('All Players Board'!$P$21,U$5-1,$A10),OFFSET('All Players Board'!$U$21,U$5-1,$A10)),"")</f>
        <v>0</v>
      </c>
      <c r="V10" s="123">
        <f ca="1">IF($C10&lt;&gt;"",IF(ViewBoard=1,OFFSET('All Players Board'!$O$21,V$5-1,$A10)&amp;" - "&amp;OFFSET('All Players Board'!$P$21,V$5-1,$A10),OFFSET('All Players Board'!$U$21,V$5-1,$A10)),"")</f>
        <v>0</v>
      </c>
      <c r="W10" s="123">
        <f ca="1">IF($C10&lt;&gt;"",IF(ViewBoard=1,OFFSET('All Players Board'!$O$21,W$5-1,$A10)&amp;" - "&amp;OFFSET('All Players Board'!$P$21,W$5-1,$A10),OFFSET('All Players Board'!$U$21,W$5-1,$A10)),"")</f>
        <v>0</v>
      </c>
      <c r="X10" s="123">
        <f ca="1">IF($C10&lt;&gt;"",IF(ViewBoard=1,OFFSET('All Players Board'!$O$21,X$5-1,$A10)&amp;" - "&amp;OFFSET('All Players Board'!$P$21,X$5-1,$A10),OFFSET('All Players Board'!$U$21,X$5-1,$A10)),"")</f>
        <v>0</v>
      </c>
      <c r="Y10" s="123">
        <f ca="1">IF($C10&lt;&gt;"",IF(ViewBoard=1,OFFSET('All Players Board'!$O$21,Y$5-1,$A10)&amp;" - "&amp;OFFSET('All Players Board'!$P$21,Y$5-1,$A10),OFFSET('All Players Board'!$U$21,Y$5-1,$A10)),"")</f>
        <v>0</v>
      </c>
      <c r="Z10" s="123">
        <f ca="1">IF($C10&lt;&gt;"",IF(ViewBoard=1,OFFSET('All Players Board'!$O$21,Z$5-1,$A10)&amp;" - "&amp;OFFSET('All Players Board'!$P$21,Z$5-1,$A10),OFFSET('All Players Board'!$U$21,Z$5-1,$A10)),"")</f>
        <v>0</v>
      </c>
      <c r="AA10" s="123">
        <f ca="1">IF($C10&lt;&gt;"",IF(ViewBoard=1,OFFSET('All Players Board'!$O$21,AA$5-1,$A10)&amp;" - "&amp;OFFSET('All Players Board'!$P$21,AA$5-1,$A10),OFFSET('All Players Board'!$U$21,AA$5-1,$A10)),"")</f>
        <v>0</v>
      </c>
      <c r="AB10" s="123">
        <f ca="1">IF($C10&lt;&gt;"",IF(ViewBoard=1,OFFSET('All Players Board'!$O$21,AB$5-1,$A10)&amp;" - "&amp;OFFSET('All Players Board'!$P$21,AB$5-1,$A10),OFFSET('All Players Board'!$U$21,AB$5-1,$A10)),"")</f>
        <v>0</v>
      </c>
    </row>
    <row r="11" spans="1:41" ht="16.05" customHeight="1" x14ac:dyDescent="0.3">
      <c r="A11" s="107">
        <f t="shared" ref="A11:A13" si="5">A10+11</f>
        <v>22</v>
      </c>
      <c r="B11" s="121">
        <v>3</v>
      </c>
      <c r="C11" s="126" t="s">
        <v>61</v>
      </c>
      <c r="D11" s="122">
        <f t="shared" ca="1" si="3"/>
        <v>0</v>
      </c>
      <c r="E11" s="122">
        <f t="shared" ca="1" si="1"/>
        <v>0</v>
      </c>
      <c r="F11" s="122">
        <f t="shared" si="4"/>
        <v>0</v>
      </c>
      <c r="G11" s="122">
        <f t="shared" ca="1" si="2"/>
        <v>0</v>
      </c>
      <c r="H11" s="126"/>
      <c r="I11" s="126"/>
      <c r="J11" s="123">
        <f ca="1">IF($C11&lt;&gt;"",OFFSET('All Players Board'!$U$5,M$5-1,$A11),0)</f>
        <v>0</v>
      </c>
      <c r="K11" s="189"/>
      <c r="L11" s="121">
        <f ca="1">IF($C11&lt;&gt;"",OFFSET('All Players Board'!$M$40,M$5-1,$A11),0)</f>
        <v>0</v>
      </c>
      <c r="M11" s="123">
        <f ca="1">IF($C11&lt;&gt;"",IF(ViewBoard=1,OFFSET('All Players Board'!$O$21,M$5-1,$A11)&amp;" - "&amp;OFFSET('All Players Board'!$P$21,M$5-1,$A11),OFFSET('All Players Board'!$U$21,M$5-1,$A11)),"")</f>
        <v>0</v>
      </c>
      <c r="N11" s="123">
        <f ca="1">IF($C11&lt;&gt;"",IF(ViewBoard=1,OFFSET('All Players Board'!$O$21,N$5-1,$A11)&amp;" - "&amp;OFFSET('All Players Board'!$P$21,N$5-1,$A11),OFFSET('All Players Board'!$U$21,N$5-1,$A11)),"")</f>
        <v>0</v>
      </c>
      <c r="O11" s="123">
        <f ca="1">IF($C11&lt;&gt;"",IF(ViewBoard=1,OFFSET('All Players Board'!$O$21,O$5-1,$A11)&amp;" - "&amp;OFFSET('All Players Board'!$P$21,O$5-1,$A11),OFFSET('All Players Board'!$U$21,O$5-1,$A11)),"")</f>
        <v>0</v>
      </c>
      <c r="P11" s="123">
        <f ca="1">IF($C11&lt;&gt;"",IF(ViewBoard=1,OFFSET('All Players Board'!$O$21,P$5-1,$A11)&amp;" - "&amp;OFFSET('All Players Board'!$P$21,P$5-1,$A11),OFFSET('All Players Board'!$U$21,P$5-1,$A11)),"")</f>
        <v>0</v>
      </c>
      <c r="Q11" s="123">
        <f ca="1">IF($C11&lt;&gt;"",IF(ViewBoard=1,OFFSET('All Players Board'!$O$21,Q$5-1,$A11)&amp;" - "&amp;OFFSET('All Players Board'!$P$21,Q$5-1,$A11),OFFSET('All Players Board'!$U$21,Q$5-1,$A11)),"")</f>
        <v>0</v>
      </c>
      <c r="R11" s="123">
        <f ca="1">IF($C11&lt;&gt;"",IF(ViewBoard=1,OFFSET('All Players Board'!$O$21,R$5-1,$A11)&amp;" - "&amp;OFFSET('All Players Board'!$P$21,R$5-1,$A11),OFFSET('All Players Board'!$U$21,R$5-1,$A11)),"")</f>
        <v>0</v>
      </c>
      <c r="S11" s="123">
        <f ca="1">IF($C11&lt;&gt;"",IF(ViewBoard=1,OFFSET('All Players Board'!$O$21,S$5-1,$A11)&amp;" - "&amp;OFFSET('All Players Board'!$P$21,S$5-1,$A11),OFFSET('All Players Board'!$U$21,S$5-1,$A11)),"")</f>
        <v>0</v>
      </c>
      <c r="T11" s="123">
        <f ca="1">IF($C11&lt;&gt;"",IF(ViewBoard=1,OFFSET('All Players Board'!$O$21,T$5-1,$A11)&amp;" - "&amp;OFFSET('All Players Board'!$P$21,T$5-1,$A11),OFFSET('All Players Board'!$U$21,T$5-1,$A11)),"")</f>
        <v>0</v>
      </c>
      <c r="U11" s="123">
        <f ca="1">IF($C11&lt;&gt;"",IF(ViewBoard=1,OFFSET('All Players Board'!$O$21,U$5-1,$A11)&amp;" - "&amp;OFFSET('All Players Board'!$P$21,U$5-1,$A11),OFFSET('All Players Board'!$U$21,U$5-1,$A11)),"")</f>
        <v>0</v>
      </c>
      <c r="V11" s="123">
        <f ca="1">IF($C11&lt;&gt;"",IF(ViewBoard=1,OFFSET('All Players Board'!$O$21,V$5-1,$A11)&amp;" - "&amp;OFFSET('All Players Board'!$P$21,V$5-1,$A11),OFFSET('All Players Board'!$U$21,V$5-1,$A11)),"")</f>
        <v>0</v>
      </c>
      <c r="W11" s="123">
        <f ca="1">IF($C11&lt;&gt;"",IF(ViewBoard=1,OFFSET('All Players Board'!$O$21,W$5-1,$A11)&amp;" - "&amp;OFFSET('All Players Board'!$P$21,W$5-1,$A11),OFFSET('All Players Board'!$U$21,W$5-1,$A11)),"")</f>
        <v>0</v>
      </c>
      <c r="X11" s="123">
        <f ca="1">IF($C11&lt;&gt;"",IF(ViewBoard=1,OFFSET('All Players Board'!$O$21,X$5-1,$A11)&amp;" - "&amp;OFFSET('All Players Board'!$P$21,X$5-1,$A11),OFFSET('All Players Board'!$U$21,X$5-1,$A11)),"")</f>
        <v>0</v>
      </c>
      <c r="Y11" s="123">
        <f ca="1">IF($C11&lt;&gt;"",IF(ViewBoard=1,OFFSET('All Players Board'!$O$21,Y$5-1,$A11)&amp;" - "&amp;OFFSET('All Players Board'!$P$21,Y$5-1,$A11),OFFSET('All Players Board'!$U$21,Y$5-1,$A11)),"")</f>
        <v>0</v>
      </c>
      <c r="Z11" s="123">
        <f ca="1">IF($C11&lt;&gt;"",IF(ViewBoard=1,OFFSET('All Players Board'!$O$21,Z$5-1,$A11)&amp;" - "&amp;OFFSET('All Players Board'!$P$21,Z$5-1,$A11),OFFSET('All Players Board'!$U$21,Z$5-1,$A11)),"")</f>
        <v>0</v>
      </c>
      <c r="AA11" s="123">
        <f ca="1">IF($C11&lt;&gt;"",IF(ViewBoard=1,OFFSET('All Players Board'!$O$21,AA$5-1,$A11)&amp;" - "&amp;OFFSET('All Players Board'!$P$21,AA$5-1,$A11),OFFSET('All Players Board'!$U$21,AA$5-1,$A11)),"")</f>
        <v>0</v>
      </c>
      <c r="AB11" s="123">
        <f ca="1">IF($C11&lt;&gt;"",IF(ViewBoard=1,OFFSET('All Players Board'!$O$21,AB$5-1,$A11)&amp;" - "&amp;OFFSET('All Players Board'!$P$21,AB$5-1,$A11),OFFSET('All Players Board'!$U$21,AB$5-1,$A11)),"")</f>
        <v>0</v>
      </c>
    </row>
    <row r="12" spans="1:41" ht="16.05" customHeight="1" x14ac:dyDescent="0.3">
      <c r="A12" s="107">
        <f t="shared" si="5"/>
        <v>33</v>
      </c>
      <c r="B12" s="121">
        <v>4</v>
      </c>
      <c r="C12" s="126" t="s">
        <v>62</v>
      </c>
      <c r="D12" s="122">
        <f t="shared" ca="1" si="3"/>
        <v>0</v>
      </c>
      <c r="E12" s="122">
        <f t="shared" ca="1" si="1"/>
        <v>0</v>
      </c>
      <c r="F12" s="122">
        <f t="shared" si="4"/>
        <v>0</v>
      </c>
      <c r="G12" s="122">
        <f t="shared" ca="1" si="2"/>
        <v>0</v>
      </c>
      <c r="H12" s="126"/>
      <c r="I12" s="126"/>
      <c r="J12" s="123">
        <f ca="1">IF($C12&lt;&gt;"",OFFSET('All Players Board'!$U$5,M$5-1,$A12),0)</f>
        <v>0</v>
      </c>
      <c r="K12" s="189"/>
      <c r="L12" s="121">
        <f ca="1">IF($C12&lt;&gt;"",OFFSET('All Players Board'!$M$40,M$5-1,$A12),0)</f>
        <v>0</v>
      </c>
      <c r="M12" s="123">
        <f ca="1">IF($C12&lt;&gt;"",IF(ViewBoard=1,OFFSET('All Players Board'!$O$21,M$5-1,$A12)&amp;" - "&amp;OFFSET('All Players Board'!$P$21,M$5-1,$A12),OFFSET('All Players Board'!$U$21,M$5-1,$A12)),"")</f>
        <v>0</v>
      </c>
      <c r="N12" s="123">
        <f ca="1">IF($C12&lt;&gt;"",IF(ViewBoard=1,OFFSET('All Players Board'!$O$21,N$5-1,$A12)&amp;" - "&amp;OFFSET('All Players Board'!$P$21,N$5-1,$A12),OFFSET('All Players Board'!$U$21,N$5-1,$A12)),"")</f>
        <v>0</v>
      </c>
      <c r="O12" s="123">
        <f ca="1">IF($C12&lt;&gt;"",IF(ViewBoard=1,OFFSET('All Players Board'!$O$21,O$5-1,$A12)&amp;" - "&amp;OFFSET('All Players Board'!$P$21,O$5-1,$A12),OFFSET('All Players Board'!$U$21,O$5-1,$A12)),"")</f>
        <v>0</v>
      </c>
      <c r="P12" s="123">
        <f ca="1">IF($C12&lt;&gt;"",IF(ViewBoard=1,OFFSET('All Players Board'!$O$21,P$5-1,$A12)&amp;" - "&amp;OFFSET('All Players Board'!$P$21,P$5-1,$A12),OFFSET('All Players Board'!$U$21,P$5-1,$A12)),"")</f>
        <v>0</v>
      </c>
      <c r="Q12" s="123">
        <f ca="1">IF($C12&lt;&gt;"",IF(ViewBoard=1,OFFSET('All Players Board'!$O$21,Q$5-1,$A12)&amp;" - "&amp;OFFSET('All Players Board'!$P$21,Q$5-1,$A12),OFFSET('All Players Board'!$U$21,Q$5-1,$A12)),"")</f>
        <v>0</v>
      </c>
      <c r="R12" s="123">
        <f ca="1">IF($C12&lt;&gt;"",IF(ViewBoard=1,OFFSET('All Players Board'!$O$21,R$5-1,$A12)&amp;" - "&amp;OFFSET('All Players Board'!$P$21,R$5-1,$A12),OFFSET('All Players Board'!$U$21,R$5-1,$A12)),"")</f>
        <v>0</v>
      </c>
      <c r="S12" s="123">
        <f ca="1">IF($C12&lt;&gt;"",IF(ViewBoard=1,OFFSET('All Players Board'!$O$21,S$5-1,$A12)&amp;" - "&amp;OFFSET('All Players Board'!$P$21,S$5-1,$A12),OFFSET('All Players Board'!$U$21,S$5-1,$A12)),"")</f>
        <v>0</v>
      </c>
      <c r="T12" s="123">
        <f ca="1">IF($C12&lt;&gt;"",IF(ViewBoard=1,OFFSET('All Players Board'!$O$21,T$5-1,$A12)&amp;" - "&amp;OFFSET('All Players Board'!$P$21,T$5-1,$A12),OFFSET('All Players Board'!$U$21,T$5-1,$A12)),"")</f>
        <v>0</v>
      </c>
      <c r="U12" s="123">
        <f ca="1">IF($C12&lt;&gt;"",IF(ViewBoard=1,OFFSET('All Players Board'!$O$21,U$5-1,$A12)&amp;" - "&amp;OFFSET('All Players Board'!$P$21,U$5-1,$A12),OFFSET('All Players Board'!$U$21,U$5-1,$A12)),"")</f>
        <v>0</v>
      </c>
      <c r="V12" s="123">
        <f ca="1">IF($C12&lt;&gt;"",IF(ViewBoard=1,OFFSET('All Players Board'!$O$21,V$5-1,$A12)&amp;" - "&amp;OFFSET('All Players Board'!$P$21,V$5-1,$A12),OFFSET('All Players Board'!$U$21,V$5-1,$A12)),"")</f>
        <v>0</v>
      </c>
      <c r="W12" s="123">
        <f ca="1">IF($C12&lt;&gt;"",IF(ViewBoard=1,OFFSET('All Players Board'!$O$21,W$5-1,$A12)&amp;" - "&amp;OFFSET('All Players Board'!$P$21,W$5-1,$A12),OFFSET('All Players Board'!$U$21,W$5-1,$A12)),"")</f>
        <v>0</v>
      </c>
      <c r="X12" s="123">
        <f ca="1">IF($C12&lt;&gt;"",IF(ViewBoard=1,OFFSET('All Players Board'!$O$21,X$5-1,$A12)&amp;" - "&amp;OFFSET('All Players Board'!$P$21,X$5-1,$A12),OFFSET('All Players Board'!$U$21,X$5-1,$A12)),"")</f>
        <v>0</v>
      </c>
      <c r="Y12" s="123">
        <f ca="1">IF($C12&lt;&gt;"",IF(ViewBoard=1,OFFSET('All Players Board'!$O$21,Y$5-1,$A12)&amp;" - "&amp;OFFSET('All Players Board'!$P$21,Y$5-1,$A12),OFFSET('All Players Board'!$U$21,Y$5-1,$A12)),"")</f>
        <v>0</v>
      </c>
      <c r="Z12" s="123">
        <f ca="1">IF($C12&lt;&gt;"",IF(ViewBoard=1,OFFSET('All Players Board'!$O$21,Z$5-1,$A12)&amp;" - "&amp;OFFSET('All Players Board'!$P$21,Z$5-1,$A12),OFFSET('All Players Board'!$U$21,Z$5-1,$A12)),"")</f>
        <v>0</v>
      </c>
      <c r="AA12" s="123">
        <f ca="1">IF($C12&lt;&gt;"",IF(ViewBoard=1,OFFSET('All Players Board'!$O$21,AA$5-1,$A12)&amp;" - "&amp;OFFSET('All Players Board'!$P$21,AA$5-1,$A12),OFFSET('All Players Board'!$U$21,AA$5-1,$A12)),"")</f>
        <v>0</v>
      </c>
      <c r="AB12" s="123">
        <f ca="1">IF($C12&lt;&gt;"",IF(ViewBoard=1,OFFSET('All Players Board'!$O$21,AB$5-1,$A12)&amp;" - "&amp;OFFSET('All Players Board'!$P$21,AB$5-1,$A12),OFFSET('All Players Board'!$U$21,AB$5-1,$A12)),"")</f>
        <v>0</v>
      </c>
    </row>
    <row r="13" spans="1:41" ht="16.05" customHeight="1" x14ac:dyDescent="0.3">
      <c r="A13" s="107">
        <f t="shared" si="5"/>
        <v>44</v>
      </c>
      <c r="B13" s="121">
        <v>5</v>
      </c>
      <c r="C13" s="126" t="s">
        <v>63</v>
      </c>
      <c r="D13" s="122">
        <f t="shared" ca="1" si="3"/>
        <v>0</v>
      </c>
      <c r="E13" s="122">
        <f t="shared" ca="1" si="1"/>
        <v>0</v>
      </c>
      <c r="F13" s="122">
        <f t="shared" si="4"/>
        <v>0</v>
      </c>
      <c r="G13" s="122">
        <f t="shared" ca="1" si="2"/>
        <v>0</v>
      </c>
      <c r="H13" s="126"/>
      <c r="I13" s="126"/>
      <c r="J13" s="123">
        <f ca="1">IF($C13&lt;&gt;"",OFFSET('All Players Board'!$U$5,M$5-1,$A13),0)</f>
        <v>0</v>
      </c>
      <c r="K13" s="189"/>
      <c r="L13" s="121">
        <f ca="1">IF($C13&lt;&gt;"",OFFSET('All Players Board'!$M$40,M$5-1,$A13),0)</f>
        <v>0</v>
      </c>
      <c r="M13" s="123">
        <f ca="1">IF($C13&lt;&gt;"",IF(ViewBoard=1,OFFSET('All Players Board'!$O$21,M$5-1,$A13)&amp;" - "&amp;OFFSET('All Players Board'!$P$21,M$5-1,$A13),OFFSET('All Players Board'!$U$21,M$5-1,$A13)),"")</f>
        <v>0</v>
      </c>
      <c r="N13" s="123">
        <f ca="1">IF($C13&lt;&gt;"",IF(ViewBoard=1,OFFSET('All Players Board'!$O$21,N$5-1,$A13)&amp;" - "&amp;OFFSET('All Players Board'!$P$21,N$5-1,$A13),OFFSET('All Players Board'!$U$21,N$5-1,$A13)),"")</f>
        <v>0</v>
      </c>
      <c r="O13" s="123">
        <f ca="1">IF($C13&lt;&gt;"",IF(ViewBoard=1,OFFSET('All Players Board'!$O$21,O$5-1,$A13)&amp;" - "&amp;OFFSET('All Players Board'!$P$21,O$5-1,$A13),OFFSET('All Players Board'!$U$21,O$5-1,$A13)),"")</f>
        <v>0</v>
      </c>
      <c r="P13" s="123">
        <f ca="1">IF($C13&lt;&gt;"",IF(ViewBoard=1,OFFSET('All Players Board'!$O$21,P$5-1,$A13)&amp;" - "&amp;OFFSET('All Players Board'!$P$21,P$5-1,$A13),OFFSET('All Players Board'!$U$21,P$5-1,$A13)),"")</f>
        <v>0</v>
      </c>
      <c r="Q13" s="123">
        <f ca="1">IF($C13&lt;&gt;"",IF(ViewBoard=1,OFFSET('All Players Board'!$O$21,Q$5-1,$A13)&amp;" - "&amp;OFFSET('All Players Board'!$P$21,Q$5-1,$A13),OFFSET('All Players Board'!$U$21,Q$5-1,$A13)),"")</f>
        <v>0</v>
      </c>
      <c r="R13" s="123">
        <f ca="1">IF($C13&lt;&gt;"",IF(ViewBoard=1,OFFSET('All Players Board'!$O$21,R$5-1,$A13)&amp;" - "&amp;OFFSET('All Players Board'!$P$21,R$5-1,$A13),OFFSET('All Players Board'!$U$21,R$5-1,$A13)),"")</f>
        <v>0</v>
      </c>
      <c r="S13" s="123">
        <f ca="1">IF($C13&lt;&gt;"",IF(ViewBoard=1,OFFSET('All Players Board'!$O$21,S$5-1,$A13)&amp;" - "&amp;OFFSET('All Players Board'!$P$21,S$5-1,$A13),OFFSET('All Players Board'!$U$21,S$5-1,$A13)),"")</f>
        <v>0</v>
      </c>
      <c r="T13" s="123">
        <f ca="1">IF($C13&lt;&gt;"",IF(ViewBoard=1,OFFSET('All Players Board'!$O$21,T$5-1,$A13)&amp;" - "&amp;OFFSET('All Players Board'!$P$21,T$5-1,$A13),OFFSET('All Players Board'!$U$21,T$5-1,$A13)),"")</f>
        <v>0</v>
      </c>
      <c r="U13" s="123">
        <f ca="1">IF($C13&lt;&gt;"",IF(ViewBoard=1,OFFSET('All Players Board'!$O$21,U$5-1,$A13)&amp;" - "&amp;OFFSET('All Players Board'!$P$21,U$5-1,$A13),OFFSET('All Players Board'!$U$21,U$5-1,$A13)),"")</f>
        <v>0</v>
      </c>
      <c r="V13" s="123">
        <f ca="1">IF($C13&lt;&gt;"",IF(ViewBoard=1,OFFSET('All Players Board'!$O$21,V$5-1,$A13)&amp;" - "&amp;OFFSET('All Players Board'!$P$21,V$5-1,$A13),OFFSET('All Players Board'!$U$21,V$5-1,$A13)),"")</f>
        <v>0</v>
      </c>
      <c r="W13" s="123">
        <f ca="1">IF($C13&lt;&gt;"",IF(ViewBoard=1,OFFSET('All Players Board'!$O$21,W$5-1,$A13)&amp;" - "&amp;OFFSET('All Players Board'!$P$21,W$5-1,$A13),OFFSET('All Players Board'!$U$21,W$5-1,$A13)),"")</f>
        <v>0</v>
      </c>
      <c r="X13" s="123">
        <f ca="1">IF($C13&lt;&gt;"",IF(ViewBoard=1,OFFSET('All Players Board'!$O$21,X$5-1,$A13)&amp;" - "&amp;OFFSET('All Players Board'!$P$21,X$5-1,$A13),OFFSET('All Players Board'!$U$21,X$5-1,$A13)),"")</f>
        <v>0</v>
      </c>
      <c r="Y13" s="123">
        <f ca="1">IF($C13&lt;&gt;"",IF(ViewBoard=1,OFFSET('All Players Board'!$O$21,Y$5-1,$A13)&amp;" - "&amp;OFFSET('All Players Board'!$P$21,Y$5-1,$A13),OFFSET('All Players Board'!$U$21,Y$5-1,$A13)),"")</f>
        <v>0</v>
      </c>
      <c r="Z13" s="123">
        <f ca="1">IF($C13&lt;&gt;"",IF(ViewBoard=1,OFFSET('All Players Board'!$O$21,Z$5-1,$A13)&amp;" - "&amp;OFFSET('All Players Board'!$P$21,Z$5-1,$A13),OFFSET('All Players Board'!$U$21,Z$5-1,$A13)),"")</f>
        <v>0</v>
      </c>
      <c r="AA13" s="123">
        <f ca="1">IF($C13&lt;&gt;"",IF(ViewBoard=1,OFFSET('All Players Board'!$O$21,AA$5-1,$A13)&amp;" - "&amp;OFFSET('All Players Board'!$P$21,AA$5-1,$A13),OFFSET('All Players Board'!$U$21,AA$5-1,$A13)),"")</f>
        <v>0</v>
      </c>
      <c r="AB13" s="123">
        <f ca="1">IF($C13&lt;&gt;"",IF(ViewBoard=1,OFFSET('All Players Board'!$O$21,AB$5-1,$A13)&amp;" - "&amp;OFFSET('All Players Board'!$P$21,AB$5-1,$A13),OFFSET('All Players Board'!$U$21,AB$5-1,$A13)),"")</f>
        <v>0</v>
      </c>
    </row>
    <row r="14" spans="1:41" ht="16.05" customHeight="1" x14ac:dyDescent="0.3"/>
    <row r="15" spans="1:41" ht="16.05" customHeight="1" x14ac:dyDescent="0.3">
      <c r="B15" s="124" t="s">
        <v>69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</row>
    <row r="16" spans="1:4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</sheetData>
  <mergeCells count="15">
    <mergeCell ref="B3:K4"/>
    <mergeCell ref="I6:I8"/>
    <mergeCell ref="C5:C8"/>
    <mergeCell ref="D5:D8"/>
    <mergeCell ref="E5:E8"/>
    <mergeCell ref="F5:F8"/>
    <mergeCell ref="G5:G8"/>
    <mergeCell ref="H6:H8"/>
    <mergeCell ref="H5:I5"/>
    <mergeCell ref="B5:B8"/>
    <mergeCell ref="J6:L6"/>
    <mergeCell ref="J5:L5"/>
    <mergeCell ref="J7:J8"/>
    <mergeCell ref="K7:K8"/>
    <mergeCell ref="L7:L8"/>
  </mergeCells>
  <conditionalFormatting sqref="B9:B13 D9:G13 J9:J13 L9:AB13">
    <cfRule type="expression" dxfId="6" priority="9">
      <formula>ISODD($B9)</formula>
    </cfRule>
  </conditionalFormatting>
  <conditionalFormatting sqref="C9:C13 H9:I13">
    <cfRule type="expression" dxfId="5" priority="8">
      <formula>ISODD($B9)</formula>
    </cfRule>
  </conditionalFormatting>
  <conditionalFormatting sqref="M9:AB13">
    <cfRule type="expression" dxfId="4" priority="6">
      <formula>AND(ViewBoard=0,M9=M$6)</formula>
    </cfRule>
    <cfRule type="expression" dxfId="3" priority="7">
      <formula>AND(ViewBoard=1,M9=M$8)</formula>
    </cfRule>
  </conditionalFormatting>
  <conditionalFormatting sqref="D9:G13 J9:J13 L9:L13">
    <cfRule type="expression" dxfId="2" priority="4">
      <formula>AND(ISEVEN($B9),$C9="")</formula>
    </cfRule>
    <cfRule type="expression" dxfId="1" priority="5">
      <formula>AND(ISODD($B9),$C9="")</formula>
    </cfRule>
  </conditionalFormatting>
  <pageMargins left="0.2" right="0.2" top="0.25" bottom="0.25" header="0.3" footer="0.3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113"/>
  <sheetViews>
    <sheetView showGridLines="0" zoomScaleNormal="100" workbookViewId="0">
      <selection activeCell="A19" sqref="A19:XFD113"/>
    </sheetView>
  </sheetViews>
  <sheetFormatPr defaultColWidth="0" defaultRowHeight="14.4" zeroHeight="1" x14ac:dyDescent="0.3"/>
  <cols>
    <col min="1" max="1" width="2.33203125" style="108" customWidth="1"/>
    <col min="2" max="2" width="4.44140625" style="9" customWidth="1"/>
    <col min="3" max="3" width="24" style="108" customWidth="1"/>
    <col min="4" max="12" width="9.6640625" style="108" customWidth="1"/>
    <col min="13" max="13" width="3.109375" style="108" customWidth="1"/>
    <col min="14" max="16384" width="8.77734375" style="108" hidden="1"/>
  </cols>
  <sheetData>
    <row r="1" spans="2:12" x14ac:dyDescent="0.3"/>
    <row r="2" spans="2:12" x14ac:dyDescent="0.3">
      <c r="B2" s="246" t="s">
        <v>68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2:12" x14ac:dyDescent="0.3"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2:12" x14ac:dyDescent="0.3"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2:12" x14ac:dyDescent="0.3"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2:12" s="9" customFormat="1" ht="14.55" customHeight="1" x14ac:dyDescent="0.3">
      <c r="B6" s="240" t="s">
        <v>45</v>
      </c>
      <c r="C6" s="240" t="s">
        <v>54</v>
      </c>
      <c r="D6" s="240" t="s">
        <v>55</v>
      </c>
      <c r="E6" s="240" t="s">
        <v>56</v>
      </c>
      <c r="F6" s="240" t="s">
        <v>57</v>
      </c>
      <c r="G6" s="240" t="s">
        <v>58</v>
      </c>
      <c r="H6" s="240" t="s">
        <v>14</v>
      </c>
      <c r="I6" s="240"/>
      <c r="J6" s="240" t="s">
        <v>32</v>
      </c>
      <c r="K6" s="240"/>
      <c r="L6" s="240"/>
    </row>
    <row r="7" spans="2:12" s="9" customFormat="1" ht="14.55" customHeight="1" x14ac:dyDescent="0.3">
      <c r="B7" s="240"/>
      <c r="C7" s="240"/>
      <c r="D7" s="240"/>
      <c r="E7" s="240"/>
      <c r="F7" s="240"/>
      <c r="G7" s="240"/>
      <c r="H7" s="240" t="s">
        <v>73</v>
      </c>
      <c r="I7" s="239" t="s">
        <v>75</v>
      </c>
      <c r="J7" s="241" t="str">
        <f>'Player Scoreboard'!J6:L6</f>
        <v>Player's Prediction</v>
      </c>
      <c r="K7" s="242"/>
      <c r="L7" s="243"/>
    </row>
    <row r="8" spans="2:12" s="9" customFormat="1" ht="14.55" customHeight="1" x14ac:dyDescent="0.3">
      <c r="B8" s="240"/>
      <c r="C8" s="240"/>
      <c r="D8" s="240"/>
      <c r="E8" s="240"/>
      <c r="F8" s="240"/>
      <c r="G8" s="240"/>
      <c r="H8" s="240"/>
      <c r="I8" s="239"/>
      <c r="J8" s="244" t="s">
        <v>73</v>
      </c>
      <c r="K8" s="244" t="s">
        <v>74</v>
      </c>
      <c r="L8" s="244" t="s">
        <v>75</v>
      </c>
    </row>
    <row r="9" spans="2:12" s="9" customFormat="1" x14ac:dyDescent="0.3">
      <c r="B9" s="240"/>
      <c r="C9" s="240"/>
      <c r="D9" s="240"/>
      <c r="E9" s="240"/>
      <c r="F9" s="240"/>
      <c r="G9" s="240"/>
      <c r="H9" s="240"/>
      <c r="I9" s="239"/>
      <c r="J9" s="245"/>
      <c r="K9" s="245"/>
      <c r="L9" s="245"/>
    </row>
    <row r="10" spans="2:12" ht="16.05" customHeight="1" x14ac:dyDescent="0.3">
      <c r="B10" s="121">
        <v>1</v>
      </c>
      <c r="C10" s="127" t="str">
        <f ca="1">IFERROR(INDEX('Dummy Rank'!G$5:G$9,MATCH('Player Leaderboard'!B10,'Dummy Rank'!F$5:F$9,0),0),"")</f>
        <v>Player 1</v>
      </c>
      <c r="D10" s="122">
        <f ca="1">IFERROR(VLOOKUP($C10,'Player Scoreboard'!$C$9:$L$13,2,FALSE),"")</f>
        <v>0</v>
      </c>
      <c r="E10" s="122">
        <f ca="1">IFERROR(VLOOKUP($C10,'Player Scoreboard'!$C$9:$L$13,3,FALSE),"")</f>
        <v>0</v>
      </c>
      <c r="F10" s="122">
        <f ca="1">IFERROR(VLOOKUP($C10,'Player Scoreboard'!$C$9:$L$13,4,FALSE),"")</f>
        <v>0</v>
      </c>
      <c r="G10" s="122">
        <f ca="1">IFERROR(VLOOKUP($C10,'Player Scoreboard'!$C$9:$L$13,5,FALSE),"")</f>
        <v>0</v>
      </c>
      <c r="H10" s="122">
        <f ca="1">IFERROR(VLOOKUP($C10,'Player Scoreboard'!$C$9:$L$13,6,FALSE),"")</f>
        <v>0</v>
      </c>
      <c r="I10" s="122">
        <f ca="1">IFERROR(VLOOKUP($C10,'Player Scoreboard'!$C$9:$L$13,7,FALSE),"")</f>
        <v>0</v>
      </c>
      <c r="J10" s="122">
        <f ca="1">IFERROR(VLOOKUP($C10,'Player Scoreboard'!$C$9:$L$13,8,FALSE),"")</f>
        <v>0</v>
      </c>
      <c r="K10" s="122">
        <f ca="1">IFERROR(VLOOKUP($C10,'Player Scoreboard'!$C$9:$L$13,9,FALSE),"")</f>
        <v>0</v>
      </c>
      <c r="L10" s="122">
        <f ca="1">IFERROR(VLOOKUP($C10,'Player Scoreboard'!$C$9:$L$13,10,FALSE),"")</f>
        <v>0</v>
      </c>
    </row>
    <row r="11" spans="2:12" ht="16.05" customHeight="1" x14ac:dyDescent="0.3">
      <c r="B11" s="121">
        <v>2</v>
      </c>
      <c r="C11" s="127" t="str">
        <f ca="1">IFERROR(INDEX('Dummy Rank'!G$5:G$9,MATCH('Player Leaderboard'!B11,'Dummy Rank'!F$5:F$9,0),0),"")</f>
        <v>Player 2</v>
      </c>
      <c r="D11" s="122">
        <f ca="1">IFERROR(VLOOKUP($C11,'Player Scoreboard'!$C$9:$L$13,2,FALSE),"")</f>
        <v>0</v>
      </c>
      <c r="E11" s="122">
        <f ca="1">IFERROR(VLOOKUP($C11,'Player Scoreboard'!$C$9:$L$13,3,FALSE),"")</f>
        <v>0</v>
      </c>
      <c r="F11" s="122">
        <f ca="1">IFERROR(VLOOKUP($C11,'Player Scoreboard'!$C$9:$L$13,4,FALSE),"")</f>
        <v>0</v>
      </c>
      <c r="G11" s="122">
        <f ca="1">IFERROR(VLOOKUP($C11,'Player Scoreboard'!$C$9:$L$13,5,FALSE),"")</f>
        <v>0</v>
      </c>
      <c r="H11" s="122">
        <f ca="1">IFERROR(VLOOKUP($C11,'Player Scoreboard'!$C$9:$L$13,6,FALSE),"")</f>
        <v>0</v>
      </c>
      <c r="I11" s="122">
        <f ca="1">IFERROR(VLOOKUP($C11,'Player Scoreboard'!$C$9:$L$13,7,FALSE),"")</f>
        <v>0</v>
      </c>
      <c r="J11" s="122">
        <f ca="1">IFERROR(VLOOKUP($C11,'Player Scoreboard'!$C$9:$L$13,8,FALSE),"")</f>
        <v>0</v>
      </c>
      <c r="K11" s="122">
        <f ca="1">IFERROR(VLOOKUP($C11,'Player Scoreboard'!$C$9:$L$13,9,FALSE),"")</f>
        <v>0</v>
      </c>
      <c r="L11" s="122">
        <f ca="1">IFERROR(VLOOKUP($C11,'Player Scoreboard'!$C$9:$L$13,10,FALSE),"")</f>
        <v>0</v>
      </c>
    </row>
    <row r="12" spans="2:12" ht="16.05" customHeight="1" x14ac:dyDescent="0.3">
      <c r="B12" s="121">
        <v>3</v>
      </c>
      <c r="C12" s="127" t="str">
        <f ca="1">IFERROR(INDEX('Dummy Rank'!G$5:G$9,MATCH('Player Leaderboard'!B12,'Dummy Rank'!F$5:F$9,0),0),"")</f>
        <v>Player 3</v>
      </c>
      <c r="D12" s="122">
        <f ca="1">IFERROR(VLOOKUP($C12,'Player Scoreboard'!$C$9:$L$13,2,FALSE),"")</f>
        <v>0</v>
      </c>
      <c r="E12" s="122">
        <f ca="1">IFERROR(VLOOKUP($C12,'Player Scoreboard'!$C$9:$L$13,3,FALSE),"")</f>
        <v>0</v>
      </c>
      <c r="F12" s="122">
        <f ca="1">IFERROR(VLOOKUP($C12,'Player Scoreboard'!$C$9:$L$13,4,FALSE),"")</f>
        <v>0</v>
      </c>
      <c r="G12" s="122">
        <f ca="1">IFERROR(VLOOKUP($C12,'Player Scoreboard'!$C$9:$L$13,5,FALSE),"")</f>
        <v>0</v>
      </c>
      <c r="H12" s="122">
        <f ca="1">IFERROR(VLOOKUP($C12,'Player Scoreboard'!$C$9:$L$13,6,FALSE),"")</f>
        <v>0</v>
      </c>
      <c r="I12" s="122">
        <f ca="1">IFERROR(VLOOKUP($C12,'Player Scoreboard'!$C$9:$L$13,7,FALSE),"")</f>
        <v>0</v>
      </c>
      <c r="J12" s="122">
        <f ca="1">IFERROR(VLOOKUP($C12,'Player Scoreboard'!$C$9:$L$13,8,FALSE),"")</f>
        <v>0</v>
      </c>
      <c r="K12" s="122">
        <f ca="1">IFERROR(VLOOKUP($C12,'Player Scoreboard'!$C$9:$L$13,9,FALSE),"")</f>
        <v>0</v>
      </c>
      <c r="L12" s="122">
        <f ca="1">IFERROR(VLOOKUP($C12,'Player Scoreboard'!$C$9:$L$13,10,FALSE),"")</f>
        <v>0</v>
      </c>
    </row>
    <row r="13" spans="2:12" ht="16.05" customHeight="1" x14ac:dyDescent="0.3">
      <c r="B13" s="121">
        <v>4</v>
      </c>
      <c r="C13" s="127" t="str">
        <f ca="1">IFERROR(INDEX('Dummy Rank'!G$5:G$9,MATCH('Player Leaderboard'!B13,'Dummy Rank'!F$5:F$9,0),0),"")</f>
        <v>Player 4</v>
      </c>
      <c r="D13" s="122">
        <f ca="1">IFERROR(VLOOKUP($C13,'Player Scoreboard'!$C$9:$L$13,2,FALSE),"")</f>
        <v>0</v>
      </c>
      <c r="E13" s="122">
        <f ca="1">IFERROR(VLOOKUP($C13,'Player Scoreboard'!$C$9:$L$13,3,FALSE),"")</f>
        <v>0</v>
      </c>
      <c r="F13" s="122">
        <f ca="1">IFERROR(VLOOKUP($C13,'Player Scoreboard'!$C$9:$L$13,4,FALSE),"")</f>
        <v>0</v>
      </c>
      <c r="G13" s="122">
        <f ca="1">IFERROR(VLOOKUP($C13,'Player Scoreboard'!$C$9:$L$13,5,FALSE),"")</f>
        <v>0</v>
      </c>
      <c r="H13" s="122">
        <f ca="1">IFERROR(VLOOKUP($C13,'Player Scoreboard'!$C$9:$L$13,6,FALSE),"")</f>
        <v>0</v>
      </c>
      <c r="I13" s="122">
        <f ca="1">IFERROR(VLOOKUP($C13,'Player Scoreboard'!$C$9:$L$13,7,FALSE),"")</f>
        <v>0</v>
      </c>
      <c r="J13" s="122">
        <f ca="1">IFERROR(VLOOKUP($C13,'Player Scoreboard'!$C$9:$L$13,8,FALSE),"")</f>
        <v>0</v>
      </c>
      <c r="K13" s="122">
        <f ca="1">IFERROR(VLOOKUP($C13,'Player Scoreboard'!$C$9:$L$13,9,FALSE),"")</f>
        <v>0</v>
      </c>
      <c r="L13" s="122">
        <f ca="1">IFERROR(VLOOKUP($C13,'Player Scoreboard'!$C$9:$L$13,10,FALSE),"")</f>
        <v>0</v>
      </c>
    </row>
    <row r="14" spans="2:12" ht="16.05" customHeight="1" x14ac:dyDescent="0.3">
      <c r="B14" s="121">
        <v>5</v>
      </c>
      <c r="C14" s="127" t="str">
        <f ca="1">IFERROR(INDEX('Dummy Rank'!G$5:G$9,MATCH('Player Leaderboard'!B14,'Dummy Rank'!F$5:F$9,0),0),"")</f>
        <v>Player 5</v>
      </c>
      <c r="D14" s="122">
        <f ca="1">IFERROR(VLOOKUP($C14,'Player Scoreboard'!$C$9:$L$13,2,FALSE),"")</f>
        <v>0</v>
      </c>
      <c r="E14" s="122">
        <f ca="1">IFERROR(VLOOKUP($C14,'Player Scoreboard'!$C$9:$L$13,3,FALSE),"")</f>
        <v>0</v>
      </c>
      <c r="F14" s="122">
        <f ca="1">IFERROR(VLOOKUP($C14,'Player Scoreboard'!$C$9:$L$13,4,FALSE),"")</f>
        <v>0</v>
      </c>
      <c r="G14" s="122">
        <f ca="1">IFERROR(VLOOKUP($C14,'Player Scoreboard'!$C$9:$L$13,5,FALSE),"")</f>
        <v>0</v>
      </c>
      <c r="H14" s="122">
        <f ca="1">IFERROR(VLOOKUP($C14,'Player Scoreboard'!$C$9:$L$13,6,FALSE),"")</f>
        <v>0</v>
      </c>
      <c r="I14" s="122">
        <f ca="1">IFERROR(VLOOKUP($C14,'Player Scoreboard'!$C$9:$L$13,7,FALSE),"")</f>
        <v>0</v>
      </c>
      <c r="J14" s="122">
        <f ca="1">IFERROR(VLOOKUP($C14,'Player Scoreboard'!$C$9:$L$13,8,FALSE),"")</f>
        <v>0</v>
      </c>
      <c r="K14" s="122">
        <f ca="1">IFERROR(VLOOKUP($C14,'Player Scoreboard'!$C$9:$L$13,9,FALSE),"")</f>
        <v>0</v>
      </c>
      <c r="L14" s="122">
        <f ca="1">IFERROR(VLOOKUP($C14,'Player Scoreboard'!$C$9:$L$13,10,FALSE),"")</f>
        <v>0</v>
      </c>
    </row>
    <row r="15" spans="2:12" ht="16.05" customHeight="1" x14ac:dyDescent="0.3">
      <c r="B15" s="108"/>
    </row>
    <row r="16" spans="2:12" ht="16.05" customHeight="1" x14ac:dyDescent="0.3">
      <c r="B16" s="124" t="s">
        <v>69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</row>
    <row r="17" ht="16.05" customHeight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5">
    <mergeCell ref="J8:J9"/>
    <mergeCell ref="J7:L7"/>
    <mergeCell ref="K8:K9"/>
    <mergeCell ref="L8:L9"/>
    <mergeCell ref="B2:L5"/>
    <mergeCell ref="B6:B9"/>
    <mergeCell ref="C6:C9"/>
    <mergeCell ref="D6:D9"/>
    <mergeCell ref="E6:E9"/>
    <mergeCell ref="F6:F9"/>
    <mergeCell ref="G6:G9"/>
    <mergeCell ref="H6:I6"/>
    <mergeCell ref="J6:L6"/>
    <mergeCell ref="H7:H9"/>
    <mergeCell ref="I7:I9"/>
  </mergeCells>
  <conditionalFormatting sqref="B10:L14">
    <cfRule type="expression" dxfId="0" priority="1">
      <formula>ISODD($B10)</formula>
    </cfRule>
  </conditionalFormatting>
  <pageMargins left="0.2" right="0.2" top="0.25" bottom="0.25" header="0.3" footer="0.3"/>
  <pageSetup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07"/>
  <sheetViews>
    <sheetView showGridLines="0" workbookViewId="0">
      <selection activeCell="F25" sqref="F25"/>
    </sheetView>
  </sheetViews>
  <sheetFormatPr defaultColWidth="0" defaultRowHeight="14.4" zeroHeight="1" x14ac:dyDescent="0.3"/>
  <cols>
    <col min="1" max="1" width="3.6640625" style="8" customWidth="1"/>
    <col min="2" max="2" width="4.109375" style="8" customWidth="1"/>
    <col min="3" max="3" width="30.6640625" style="8" customWidth="1"/>
    <col min="4" max="4" width="4.44140625" style="8" customWidth="1"/>
    <col min="5" max="5" width="4.109375" style="8" customWidth="1"/>
    <col min="6" max="6" width="30.6640625" style="8" customWidth="1"/>
    <col min="7" max="8" width="4.44140625" style="8" customWidth="1"/>
    <col min="9" max="12" width="8.77734375" style="8" customWidth="1"/>
    <col min="13" max="13" width="2" style="8" customWidth="1"/>
    <col min="14" max="16" width="8.77734375" style="8" hidden="1" customWidth="1"/>
    <col min="17" max="17" width="3.77734375" style="8" hidden="1" customWidth="1"/>
    <col min="18" max="16384" width="8.77734375" style="8" hidden="1"/>
  </cols>
  <sheetData>
    <row r="1" spans="2:16" x14ac:dyDescent="0.3"/>
    <row r="2" spans="2:16" ht="14.55" customHeight="1" x14ac:dyDescent="0.3">
      <c r="B2" s="247" t="s">
        <v>88</v>
      </c>
      <c r="C2" s="247"/>
      <c r="E2" s="247" t="s">
        <v>89</v>
      </c>
      <c r="F2" s="247"/>
      <c r="H2" s="129" t="s">
        <v>72</v>
      </c>
      <c r="I2" s="248" t="s">
        <v>91</v>
      </c>
      <c r="J2" s="248"/>
      <c r="K2" s="248"/>
      <c r="L2" s="248"/>
      <c r="M2" s="134"/>
      <c r="N2" s="134"/>
      <c r="O2" s="134"/>
      <c r="P2" s="134"/>
    </row>
    <row r="3" spans="2:16" x14ac:dyDescent="0.3">
      <c r="B3" s="130"/>
      <c r="C3" s="130" t="s">
        <v>67</v>
      </c>
      <c r="E3" s="130"/>
      <c r="F3" s="130" t="s">
        <v>67</v>
      </c>
      <c r="I3" s="248"/>
      <c r="J3" s="248"/>
      <c r="K3" s="248"/>
      <c r="L3" s="248"/>
      <c r="M3" s="134"/>
      <c r="N3" s="134"/>
      <c r="O3" s="134"/>
      <c r="P3" s="134"/>
    </row>
    <row r="4" spans="2:16" x14ac:dyDescent="0.3">
      <c r="B4" s="131">
        <v>1</v>
      </c>
      <c r="C4" s="132" t="s">
        <v>94</v>
      </c>
      <c r="E4" s="131">
        <v>1</v>
      </c>
      <c r="F4" s="132" t="s">
        <v>94</v>
      </c>
      <c r="I4" s="248"/>
      <c r="J4" s="248"/>
      <c r="K4" s="248"/>
      <c r="L4" s="248"/>
      <c r="M4" s="134"/>
      <c r="N4" s="134"/>
      <c r="O4" s="134"/>
      <c r="P4" s="134"/>
    </row>
    <row r="5" spans="2:16" x14ac:dyDescent="0.3">
      <c r="B5" s="131">
        <v>2</v>
      </c>
      <c r="C5" s="132" t="s">
        <v>96</v>
      </c>
      <c r="E5" s="131">
        <v>2</v>
      </c>
      <c r="F5" s="132" t="s">
        <v>96</v>
      </c>
      <c r="H5" s="129"/>
      <c r="I5" s="248"/>
      <c r="J5" s="248"/>
      <c r="K5" s="248"/>
      <c r="L5" s="248"/>
      <c r="M5" s="134"/>
      <c r="N5" s="134"/>
      <c r="O5" s="134"/>
      <c r="P5" s="134"/>
    </row>
    <row r="6" spans="2:16" ht="14.55" customHeight="1" x14ac:dyDescent="0.3">
      <c r="B6" s="131">
        <v>3</v>
      </c>
      <c r="C6" s="132" t="s">
        <v>103</v>
      </c>
      <c r="E6" s="131">
        <v>3</v>
      </c>
      <c r="F6" s="132" t="s">
        <v>103</v>
      </c>
      <c r="I6" s="248"/>
      <c r="J6" s="248"/>
      <c r="K6" s="248"/>
      <c r="L6" s="248"/>
      <c r="M6" s="134"/>
      <c r="N6" s="134"/>
      <c r="O6" s="134"/>
      <c r="P6" s="134"/>
    </row>
    <row r="7" spans="2:16" x14ac:dyDescent="0.3">
      <c r="B7" s="131">
        <v>4</v>
      </c>
      <c r="C7" s="132" t="s">
        <v>95</v>
      </c>
      <c r="E7" s="131">
        <v>4</v>
      </c>
      <c r="F7" s="132" t="s">
        <v>95</v>
      </c>
      <c r="I7" s="248"/>
      <c r="J7" s="248"/>
      <c r="K7" s="248"/>
      <c r="L7" s="248"/>
      <c r="M7" s="134"/>
      <c r="N7" s="134"/>
      <c r="O7" s="134"/>
      <c r="P7" s="134"/>
    </row>
    <row r="8" spans="2:16" x14ac:dyDescent="0.3">
      <c r="B8" s="131">
        <v>5</v>
      </c>
      <c r="C8" s="132" t="s">
        <v>105</v>
      </c>
      <c r="E8" s="131">
        <v>5</v>
      </c>
      <c r="F8" s="132" t="s">
        <v>105</v>
      </c>
      <c r="I8" s="248"/>
      <c r="J8" s="248"/>
      <c r="K8" s="248"/>
      <c r="L8" s="248"/>
      <c r="M8" s="134"/>
      <c r="N8" s="134"/>
      <c r="O8" s="134"/>
      <c r="P8" s="134"/>
    </row>
    <row r="9" spans="2:16" x14ac:dyDescent="0.3">
      <c r="B9" s="131">
        <v>6</v>
      </c>
      <c r="C9" s="132" t="s">
        <v>93</v>
      </c>
      <c r="E9" s="131">
        <v>6</v>
      </c>
      <c r="F9" s="132" t="s">
        <v>93</v>
      </c>
      <c r="I9" s="248"/>
      <c r="J9" s="248"/>
      <c r="K9" s="248"/>
      <c r="L9" s="248"/>
      <c r="M9" s="134"/>
      <c r="N9" s="134"/>
      <c r="O9" s="134"/>
      <c r="P9" s="134"/>
    </row>
    <row r="10" spans="2:16" x14ac:dyDescent="0.3">
      <c r="B10" s="131">
        <v>7</v>
      </c>
      <c r="C10" s="132" t="s">
        <v>98</v>
      </c>
      <c r="E10" s="131">
        <v>7</v>
      </c>
      <c r="F10" s="132" t="s">
        <v>98</v>
      </c>
      <c r="I10" s="248"/>
      <c r="J10" s="248"/>
      <c r="K10" s="248"/>
      <c r="L10" s="248"/>
    </row>
    <row r="11" spans="2:16" ht="14.55" customHeight="1" x14ac:dyDescent="0.3">
      <c r="B11" s="131">
        <v>8</v>
      </c>
      <c r="C11" s="132" t="s">
        <v>99</v>
      </c>
      <c r="E11" s="131">
        <v>8</v>
      </c>
      <c r="F11" s="132" t="s">
        <v>99</v>
      </c>
      <c r="H11" s="129" t="s">
        <v>72</v>
      </c>
      <c r="I11" s="248" t="s">
        <v>90</v>
      </c>
      <c r="J11" s="248"/>
      <c r="K11" s="248"/>
      <c r="L11" s="248"/>
    </row>
    <row r="12" spans="2:16" x14ac:dyDescent="0.3">
      <c r="B12" s="131">
        <v>9</v>
      </c>
      <c r="C12" s="132" t="s">
        <v>92</v>
      </c>
      <c r="E12" s="131">
        <v>9</v>
      </c>
      <c r="F12" s="132" t="s">
        <v>92</v>
      </c>
      <c r="I12" s="248"/>
      <c r="J12" s="248"/>
      <c r="K12" s="248"/>
      <c r="L12" s="248"/>
    </row>
    <row r="13" spans="2:16" x14ac:dyDescent="0.3">
      <c r="B13" s="131">
        <v>10</v>
      </c>
      <c r="C13" s="132" t="s">
        <v>100</v>
      </c>
      <c r="E13" s="131">
        <v>10</v>
      </c>
      <c r="F13" s="132" t="s">
        <v>100</v>
      </c>
      <c r="I13" s="248"/>
      <c r="J13" s="248"/>
      <c r="K13" s="248"/>
      <c r="L13" s="248"/>
    </row>
    <row r="14" spans="2:16" x14ac:dyDescent="0.3">
      <c r="B14" s="131">
        <v>11</v>
      </c>
      <c r="C14" s="132" t="s">
        <v>97</v>
      </c>
      <c r="E14" s="131">
        <v>11</v>
      </c>
      <c r="F14" s="132" t="s">
        <v>97</v>
      </c>
      <c r="I14" s="248"/>
      <c r="J14" s="248"/>
      <c r="K14" s="248"/>
      <c r="L14" s="248"/>
    </row>
    <row r="15" spans="2:16" x14ac:dyDescent="0.3">
      <c r="B15" s="131">
        <v>12</v>
      </c>
      <c r="C15" s="132" t="s">
        <v>104</v>
      </c>
      <c r="E15" s="131">
        <v>12</v>
      </c>
      <c r="F15" s="132" t="s">
        <v>104</v>
      </c>
      <c r="I15" s="248"/>
      <c r="J15" s="248"/>
      <c r="K15" s="248"/>
      <c r="L15" s="248"/>
    </row>
    <row r="16" spans="2:16" x14ac:dyDescent="0.3">
      <c r="B16" s="131">
        <v>13</v>
      </c>
      <c r="C16" s="132" t="s">
        <v>102</v>
      </c>
      <c r="E16" s="131">
        <v>13</v>
      </c>
      <c r="F16" s="132" t="s">
        <v>102</v>
      </c>
      <c r="I16" s="248"/>
      <c r="J16" s="248"/>
      <c r="K16" s="248"/>
      <c r="L16" s="248"/>
    </row>
    <row r="17" spans="2:12" x14ac:dyDescent="0.3">
      <c r="B17" s="131">
        <v>14</v>
      </c>
      <c r="C17" s="132" t="s">
        <v>108</v>
      </c>
      <c r="E17" s="131">
        <v>14</v>
      </c>
      <c r="F17" s="132" t="s">
        <v>108</v>
      </c>
      <c r="I17" s="248"/>
      <c r="J17" s="248"/>
      <c r="K17" s="248"/>
      <c r="L17" s="248"/>
    </row>
    <row r="18" spans="2:12" x14ac:dyDescent="0.3">
      <c r="B18" s="131">
        <v>15</v>
      </c>
      <c r="C18" s="132" t="s">
        <v>101</v>
      </c>
      <c r="E18" s="131">
        <v>15</v>
      </c>
      <c r="F18" s="132" t="s">
        <v>101</v>
      </c>
      <c r="I18" s="134"/>
      <c r="J18" s="134"/>
      <c r="K18" s="134"/>
      <c r="L18" s="134"/>
    </row>
    <row r="19" spans="2:12" x14ac:dyDescent="0.3">
      <c r="B19" s="131">
        <v>16</v>
      </c>
      <c r="C19" s="132" t="s">
        <v>106</v>
      </c>
      <c r="E19" s="131">
        <v>16</v>
      </c>
      <c r="F19" s="132" t="s">
        <v>106</v>
      </c>
      <c r="I19" s="134"/>
      <c r="J19" s="134"/>
      <c r="K19" s="134"/>
      <c r="L19" s="134"/>
    </row>
    <row r="20" spans="2:12" x14ac:dyDescent="0.3">
      <c r="B20" s="131">
        <v>17</v>
      </c>
      <c r="C20" s="132" t="s">
        <v>107</v>
      </c>
      <c r="E20" s="131">
        <v>17</v>
      </c>
      <c r="F20" s="132" t="s">
        <v>107</v>
      </c>
      <c r="I20" s="134"/>
      <c r="J20" s="134"/>
      <c r="K20" s="134"/>
      <c r="L20" s="134"/>
    </row>
    <row r="21" spans="2:12" x14ac:dyDescent="0.3">
      <c r="B21" s="131">
        <v>18</v>
      </c>
      <c r="C21" s="132"/>
      <c r="E21" s="131">
        <v>18</v>
      </c>
      <c r="F21" s="132"/>
      <c r="I21" s="134"/>
      <c r="J21" s="134"/>
      <c r="K21" s="134"/>
      <c r="L21" s="134"/>
    </row>
    <row r="22" spans="2:12" x14ac:dyDescent="0.3">
      <c r="B22" s="131">
        <v>19</v>
      </c>
      <c r="C22" s="132"/>
      <c r="E22" s="131">
        <v>19</v>
      </c>
      <c r="F22" s="132"/>
      <c r="I22" s="134"/>
      <c r="J22" s="134"/>
      <c r="K22" s="134"/>
      <c r="L22" s="134"/>
    </row>
    <row r="23" spans="2:12" x14ac:dyDescent="0.3">
      <c r="B23" s="131">
        <v>20</v>
      </c>
      <c r="C23" s="132"/>
      <c r="E23" s="131">
        <v>20</v>
      </c>
      <c r="F23" s="132"/>
      <c r="I23" s="134"/>
      <c r="J23" s="134"/>
      <c r="K23" s="134"/>
      <c r="L23" s="134"/>
    </row>
    <row r="24" spans="2:12" x14ac:dyDescent="0.3">
      <c r="B24" s="131">
        <v>21</v>
      </c>
      <c r="C24" s="132"/>
      <c r="E24" s="131">
        <v>21</v>
      </c>
      <c r="F24" s="132"/>
    </row>
    <row r="25" spans="2:12" x14ac:dyDescent="0.3">
      <c r="B25" s="131">
        <v>22</v>
      </c>
      <c r="C25" s="132"/>
      <c r="E25" s="131">
        <v>22</v>
      </c>
      <c r="F25" s="132"/>
    </row>
    <row r="26" spans="2:12" x14ac:dyDescent="0.3">
      <c r="B26" s="131">
        <v>23</v>
      </c>
      <c r="C26" s="132"/>
      <c r="E26" s="131">
        <v>23</v>
      </c>
      <c r="F26" s="132"/>
    </row>
    <row r="27" spans="2:12" x14ac:dyDescent="0.3">
      <c r="B27" s="131">
        <v>24</v>
      </c>
      <c r="C27" s="132"/>
      <c r="E27" s="131">
        <v>24</v>
      </c>
      <c r="F27" s="132"/>
    </row>
    <row r="28" spans="2:12" x14ac:dyDescent="0.3">
      <c r="B28" s="131">
        <v>25</v>
      </c>
      <c r="C28" s="132"/>
      <c r="E28" s="131">
        <v>25</v>
      </c>
      <c r="F28" s="132"/>
    </row>
    <row r="29" spans="2:12" x14ac:dyDescent="0.3">
      <c r="B29" s="131">
        <v>26</v>
      </c>
      <c r="C29" s="132"/>
      <c r="E29" s="131">
        <v>26</v>
      </c>
      <c r="F29" s="132"/>
    </row>
    <row r="30" spans="2:12" x14ac:dyDescent="0.3">
      <c r="B30" s="131">
        <v>27</v>
      </c>
      <c r="C30" s="132"/>
      <c r="E30" s="131">
        <v>27</v>
      </c>
      <c r="F30" s="132"/>
    </row>
    <row r="31" spans="2:12" x14ac:dyDescent="0.3">
      <c r="B31" s="131">
        <v>28</v>
      </c>
      <c r="C31" s="132"/>
      <c r="E31" s="131">
        <v>28</v>
      </c>
      <c r="F31" s="132"/>
    </row>
    <row r="32" spans="2:12" x14ac:dyDescent="0.3">
      <c r="B32" s="131">
        <v>29</v>
      </c>
      <c r="C32" s="132"/>
      <c r="E32" s="131">
        <v>29</v>
      </c>
      <c r="F32" s="132"/>
    </row>
    <row r="33" spans="2:6" x14ac:dyDescent="0.3">
      <c r="B33" s="131">
        <v>30</v>
      </c>
      <c r="C33" s="132"/>
      <c r="E33" s="131">
        <v>30</v>
      </c>
      <c r="F33" s="132"/>
    </row>
    <row r="34" spans="2:6" x14ac:dyDescent="0.3">
      <c r="B34" s="131">
        <v>31</v>
      </c>
      <c r="C34" s="132"/>
      <c r="E34" s="131">
        <v>31</v>
      </c>
      <c r="F34" s="132"/>
    </row>
    <row r="35" spans="2:6" x14ac:dyDescent="0.3">
      <c r="B35" s="131">
        <v>32</v>
      </c>
      <c r="C35" s="132"/>
      <c r="E35" s="131">
        <v>32</v>
      </c>
      <c r="F35" s="132"/>
    </row>
    <row r="36" spans="2:6" x14ac:dyDescent="0.3">
      <c r="B36" s="131">
        <v>33</v>
      </c>
      <c r="C36" s="132"/>
      <c r="E36" s="131">
        <v>33</v>
      </c>
      <c r="F36" s="132"/>
    </row>
    <row r="37" spans="2:6" x14ac:dyDescent="0.3">
      <c r="B37" s="131">
        <v>34</v>
      </c>
      <c r="C37" s="132"/>
      <c r="E37" s="131">
        <v>34</v>
      </c>
      <c r="F37" s="132"/>
    </row>
    <row r="38" spans="2:6" x14ac:dyDescent="0.3">
      <c r="B38" s="131">
        <v>35</v>
      </c>
      <c r="C38" s="132"/>
      <c r="E38" s="131">
        <v>35</v>
      </c>
      <c r="F38" s="132"/>
    </row>
    <row r="39" spans="2:6" x14ac:dyDescent="0.3">
      <c r="B39" s="131">
        <v>36</v>
      </c>
      <c r="C39" s="132"/>
      <c r="E39" s="131">
        <v>36</v>
      </c>
      <c r="F39" s="132"/>
    </row>
    <row r="40" spans="2:6" x14ac:dyDescent="0.3">
      <c r="B40" s="131">
        <v>37</v>
      </c>
      <c r="C40" s="132"/>
      <c r="E40" s="131">
        <v>37</v>
      </c>
      <c r="F40" s="132"/>
    </row>
    <row r="41" spans="2:6" x14ac:dyDescent="0.3">
      <c r="B41" s="131">
        <v>38</v>
      </c>
      <c r="C41" s="132"/>
      <c r="E41" s="131">
        <v>38</v>
      </c>
      <c r="F41" s="132"/>
    </row>
    <row r="42" spans="2:6" x14ac:dyDescent="0.3">
      <c r="B42" s="131">
        <v>39</v>
      </c>
      <c r="C42" s="132"/>
      <c r="E42" s="131">
        <v>39</v>
      </c>
      <c r="F42" s="132"/>
    </row>
    <row r="43" spans="2:6" x14ac:dyDescent="0.3">
      <c r="B43" s="131">
        <v>40</v>
      </c>
      <c r="C43" s="132"/>
      <c r="E43" s="131">
        <v>40</v>
      </c>
      <c r="F43" s="132"/>
    </row>
    <row r="44" spans="2:6" x14ac:dyDescent="0.3">
      <c r="B44" s="131">
        <v>41</v>
      </c>
      <c r="C44" s="132"/>
      <c r="E44" s="131">
        <v>41</v>
      </c>
      <c r="F44" s="132"/>
    </row>
    <row r="45" spans="2:6" x14ac:dyDescent="0.3">
      <c r="B45" s="131">
        <v>42</v>
      </c>
      <c r="C45" s="132"/>
      <c r="E45" s="131">
        <v>42</v>
      </c>
      <c r="F45" s="132"/>
    </row>
    <row r="46" spans="2:6" x14ac:dyDescent="0.3">
      <c r="B46" s="131">
        <v>43</v>
      </c>
      <c r="C46" s="132"/>
      <c r="E46" s="131">
        <v>43</v>
      </c>
      <c r="F46" s="132"/>
    </row>
    <row r="47" spans="2:6" x14ac:dyDescent="0.3">
      <c r="B47" s="131">
        <v>44</v>
      </c>
      <c r="C47" s="132"/>
      <c r="E47" s="131">
        <v>44</v>
      </c>
      <c r="F47" s="132"/>
    </row>
    <row r="48" spans="2:6" x14ac:dyDescent="0.3">
      <c r="B48" s="131">
        <v>45</v>
      </c>
      <c r="C48" s="132"/>
      <c r="E48" s="131">
        <v>45</v>
      </c>
      <c r="F48" s="132"/>
    </row>
    <row r="49" spans="2:6" x14ac:dyDescent="0.3">
      <c r="B49" s="131">
        <v>46</v>
      </c>
      <c r="C49" s="132"/>
      <c r="E49" s="131">
        <v>46</v>
      </c>
      <c r="F49" s="132"/>
    </row>
    <row r="50" spans="2:6" x14ac:dyDescent="0.3">
      <c r="B50" s="131">
        <v>47</v>
      </c>
      <c r="C50" s="132"/>
      <c r="E50" s="131">
        <v>47</v>
      </c>
      <c r="F50" s="132"/>
    </row>
    <row r="51" spans="2:6" x14ac:dyDescent="0.3">
      <c r="B51" s="131">
        <v>48</v>
      </c>
      <c r="C51" s="132"/>
      <c r="E51" s="131">
        <v>48</v>
      </c>
      <c r="F51" s="132"/>
    </row>
    <row r="52" spans="2:6" x14ac:dyDescent="0.3">
      <c r="B52" s="131">
        <v>49</v>
      </c>
      <c r="C52" s="132"/>
      <c r="E52" s="131">
        <v>49</v>
      </c>
      <c r="F52" s="132"/>
    </row>
    <row r="53" spans="2:6" x14ac:dyDescent="0.3">
      <c r="B53" s="131">
        <v>50</v>
      </c>
      <c r="C53" s="132"/>
      <c r="E53" s="131">
        <v>50</v>
      </c>
      <c r="F53" s="132"/>
    </row>
    <row r="54" spans="2:6" x14ac:dyDescent="0.3">
      <c r="B54" s="131">
        <v>51</v>
      </c>
      <c r="C54" s="132"/>
      <c r="E54" s="131">
        <v>51</v>
      </c>
      <c r="F54" s="132"/>
    </row>
    <row r="55" spans="2:6" x14ac:dyDescent="0.3">
      <c r="B55" s="131">
        <v>52</v>
      </c>
      <c r="C55" s="132"/>
      <c r="E55" s="131">
        <v>52</v>
      </c>
      <c r="F55" s="132"/>
    </row>
    <row r="56" spans="2:6" x14ac:dyDescent="0.3">
      <c r="B56" s="131">
        <v>53</v>
      </c>
      <c r="C56" s="132"/>
      <c r="E56" s="131">
        <v>53</v>
      </c>
      <c r="F56" s="132"/>
    </row>
    <row r="57" spans="2:6" x14ac:dyDescent="0.3">
      <c r="B57" s="131">
        <v>54</v>
      </c>
      <c r="C57" s="132"/>
      <c r="E57" s="131">
        <v>54</v>
      </c>
      <c r="F57" s="132"/>
    </row>
    <row r="58" spans="2:6" x14ac:dyDescent="0.3">
      <c r="B58" s="131">
        <v>55</v>
      </c>
      <c r="C58" s="132"/>
      <c r="E58" s="131">
        <v>55</v>
      </c>
      <c r="F58" s="132"/>
    </row>
    <row r="59" spans="2:6" x14ac:dyDescent="0.3">
      <c r="B59" s="131">
        <v>56</v>
      </c>
      <c r="C59" s="132"/>
      <c r="E59" s="131">
        <v>56</v>
      </c>
      <c r="F59" s="132"/>
    </row>
    <row r="60" spans="2:6" x14ac:dyDescent="0.3">
      <c r="B60" s="131">
        <v>57</v>
      </c>
      <c r="C60" s="132"/>
      <c r="E60" s="131">
        <v>57</v>
      </c>
      <c r="F60" s="132"/>
    </row>
    <row r="61" spans="2:6" x14ac:dyDescent="0.3">
      <c r="B61" s="131">
        <v>58</v>
      </c>
      <c r="C61" s="132"/>
      <c r="E61" s="131">
        <v>58</v>
      </c>
      <c r="F61" s="132"/>
    </row>
    <row r="62" spans="2:6" x14ac:dyDescent="0.3">
      <c r="B62" s="131">
        <v>59</v>
      </c>
      <c r="C62" s="132"/>
      <c r="E62" s="131">
        <v>59</v>
      </c>
      <c r="F62" s="132"/>
    </row>
    <row r="63" spans="2:6" x14ac:dyDescent="0.3">
      <c r="B63" s="131">
        <v>60</v>
      </c>
      <c r="C63" s="132"/>
      <c r="E63" s="131">
        <v>60</v>
      </c>
      <c r="F63" s="132"/>
    </row>
    <row r="64" spans="2:6" x14ac:dyDescent="0.3">
      <c r="B64" s="131">
        <v>61</v>
      </c>
      <c r="C64" s="132"/>
      <c r="E64" s="131">
        <v>61</v>
      </c>
      <c r="F64" s="132"/>
    </row>
    <row r="65" spans="2:6" x14ac:dyDescent="0.3">
      <c r="B65" s="131">
        <v>62</v>
      </c>
      <c r="C65" s="132"/>
      <c r="E65" s="131">
        <v>62</v>
      </c>
      <c r="F65" s="132"/>
    </row>
    <row r="66" spans="2:6" x14ac:dyDescent="0.3">
      <c r="B66" s="131">
        <v>63</v>
      </c>
      <c r="C66" s="132"/>
      <c r="E66" s="131">
        <v>63</v>
      </c>
      <c r="F66" s="132"/>
    </row>
    <row r="67" spans="2:6" x14ac:dyDescent="0.3">
      <c r="B67" s="131">
        <v>64</v>
      </c>
      <c r="C67" s="132"/>
      <c r="E67" s="131">
        <v>64</v>
      </c>
      <c r="F67" s="132"/>
    </row>
    <row r="68" spans="2:6" x14ac:dyDescent="0.3">
      <c r="B68" s="131">
        <v>65</v>
      </c>
      <c r="C68" s="132"/>
      <c r="E68" s="131">
        <v>65</v>
      </c>
      <c r="F68" s="132"/>
    </row>
    <row r="69" spans="2:6" x14ac:dyDescent="0.3">
      <c r="B69" s="131">
        <v>66</v>
      </c>
      <c r="C69" s="132"/>
      <c r="E69" s="131">
        <v>66</v>
      </c>
      <c r="F69" s="132"/>
    </row>
    <row r="70" spans="2:6" x14ac:dyDescent="0.3">
      <c r="B70" s="131">
        <v>67</v>
      </c>
      <c r="C70" s="132"/>
      <c r="E70" s="131">
        <v>67</v>
      </c>
      <c r="F70" s="132"/>
    </row>
    <row r="71" spans="2:6" x14ac:dyDescent="0.3">
      <c r="B71" s="131">
        <v>68</v>
      </c>
      <c r="C71" s="132"/>
      <c r="E71" s="131">
        <v>68</v>
      </c>
      <c r="F71" s="132"/>
    </row>
    <row r="72" spans="2:6" x14ac:dyDescent="0.3">
      <c r="B72" s="131">
        <v>69</v>
      </c>
      <c r="C72" s="132"/>
      <c r="E72" s="131">
        <v>69</v>
      </c>
      <c r="F72" s="132"/>
    </row>
    <row r="73" spans="2:6" x14ac:dyDescent="0.3">
      <c r="B73" s="131">
        <v>70</v>
      </c>
      <c r="C73" s="132"/>
      <c r="E73" s="131">
        <v>70</v>
      </c>
      <c r="F73" s="132"/>
    </row>
    <row r="74" spans="2:6" x14ac:dyDescent="0.3">
      <c r="B74" s="131">
        <v>71</v>
      </c>
      <c r="C74" s="132"/>
      <c r="E74" s="131">
        <v>71</v>
      </c>
      <c r="F74" s="132"/>
    </row>
    <row r="75" spans="2:6" x14ac:dyDescent="0.3">
      <c r="B75" s="131">
        <v>72</v>
      </c>
      <c r="C75" s="132"/>
      <c r="E75" s="131">
        <v>72</v>
      </c>
      <c r="F75" s="132"/>
    </row>
    <row r="76" spans="2:6" x14ac:dyDescent="0.3">
      <c r="B76" s="131">
        <v>73</v>
      </c>
      <c r="C76" s="132"/>
      <c r="E76" s="131">
        <v>73</v>
      </c>
      <c r="F76" s="132"/>
    </row>
    <row r="77" spans="2:6" x14ac:dyDescent="0.3">
      <c r="B77" s="131">
        <v>74</v>
      </c>
      <c r="C77" s="132"/>
      <c r="E77" s="131">
        <v>74</v>
      </c>
      <c r="F77" s="132"/>
    </row>
    <row r="78" spans="2:6" x14ac:dyDescent="0.3">
      <c r="B78" s="131">
        <v>75</v>
      </c>
      <c r="C78" s="132"/>
      <c r="E78" s="131">
        <v>75</v>
      </c>
      <c r="F78" s="132"/>
    </row>
    <row r="79" spans="2:6" x14ac:dyDescent="0.3">
      <c r="B79" s="131">
        <v>76</v>
      </c>
      <c r="C79" s="132"/>
      <c r="E79" s="131">
        <v>76</v>
      </c>
      <c r="F79" s="132"/>
    </row>
    <row r="80" spans="2:6" x14ac:dyDescent="0.3">
      <c r="B80" s="131">
        <v>77</v>
      </c>
      <c r="C80" s="132"/>
      <c r="E80" s="131">
        <v>77</v>
      </c>
      <c r="F80" s="132"/>
    </row>
    <row r="81" spans="2:6" x14ac:dyDescent="0.3">
      <c r="B81" s="131">
        <v>78</v>
      </c>
      <c r="C81" s="132"/>
      <c r="E81" s="131">
        <v>78</v>
      </c>
      <c r="F81" s="132"/>
    </row>
    <row r="82" spans="2:6" x14ac:dyDescent="0.3">
      <c r="B82" s="131">
        <v>79</v>
      </c>
      <c r="C82" s="132"/>
      <c r="E82" s="131">
        <v>79</v>
      </c>
      <c r="F82" s="132"/>
    </row>
    <row r="83" spans="2:6" x14ac:dyDescent="0.3">
      <c r="B83" s="131">
        <v>80</v>
      </c>
      <c r="C83" s="132"/>
      <c r="E83" s="131">
        <v>80</v>
      </c>
      <c r="F83" s="132"/>
    </row>
    <row r="84" spans="2:6" x14ac:dyDescent="0.3">
      <c r="B84" s="131">
        <v>81</v>
      </c>
      <c r="C84" s="132"/>
      <c r="E84" s="131">
        <v>81</v>
      </c>
      <c r="F84" s="132"/>
    </row>
    <row r="85" spans="2:6" x14ac:dyDescent="0.3">
      <c r="B85" s="131">
        <v>82</v>
      </c>
      <c r="C85" s="132"/>
      <c r="E85" s="131">
        <v>82</v>
      </c>
      <c r="F85" s="132"/>
    </row>
    <row r="86" spans="2:6" x14ac:dyDescent="0.3">
      <c r="B86" s="131">
        <v>83</v>
      </c>
      <c r="C86" s="132"/>
      <c r="E86" s="131">
        <v>83</v>
      </c>
      <c r="F86" s="132"/>
    </row>
    <row r="87" spans="2:6" x14ac:dyDescent="0.3">
      <c r="B87" s="131">
        <v>84</v>
      </c>
      <c r="C87" s="132"/>
      <c r="E87" s="131">
        <v>84</v>
      </c>
      <c r="F87" s="132"/>
    </row>
    <row r="88" spans="2:6" x14ac:dyDescent="0.3">
      <c r="B88" s="131">
        <v>85</v>
      </c>
      <c r="C88" s="132"/>
      <c r="E88" s="131">
        <v>85</v>
      </c>
      <c r="F88" s="132"/>
    </row>
    <row r="89" spans="2:6" x14ac:dyDescent="0.3">
      <c r="B89" s="131">
        <v>86</v>
      </c>
      <c r="C89" s="132"/>
      <c r="E89" s="131">
        <v>86</v>
      </c>
      <c r="F89" s="132"/>
    </row>
    <row r="90" spans="2:6" x14ac:dyDescent="0.3">
      <c r="B90" s="131">
        <v>87</v>
      </c>
      <c r="C90" s="132"/>
      <c r="E90" s="131">
        <v>87</v>
      </c>
      <c r="F90" s="132"/>
    </row>
    <row r="91" spans="2:6" x14ac:dyDescent="0.3">
      <c r="B91" s="131">
        <v>88</v>
      </c>
      <c r="C91" s="132"/>
      <c r="E91" s="131">
        <v>88</v>
      </c>
      <c r="F91" s="132"/>
    </row>
    <row r="92" spans="2:6" x14ac:dyDescent="0.3">
      <c r="B92" s="131">
        <v>89</v>
      </c>
      <c r="C92" s="132"/>
      <c r="E92" s="131">
        <v>89</v>
      </c>
      <c r="F92" s="132"/>
    </row>
    <row r="93" spans="2:6" x14ac:dyDescent="0.3">
      <c r="B93" s="131">
        <v>90</v>
      </c>
      <c r="C93" s="132"/>
      <c r="E93" s="131">
        <v>90</v>
      </c>
      <c r="F93" s="132"/>
    </row>
    <row r="94" spans="2:6" x14ac:dyDescent="0.3">
      <c r="B94" s="131">
        <v>91</v>
      </c>
      <c r="C94" s="132"/>
      <c r="E94" s="131">
        <v>91</v>
      </c>
      <c r="F94" s="132"/>
    </row>
    <row r="95" spans="2:6" x14ac:dyDescent="0.3">
      <c r="B95" s="131">
        <v>92</v>
      </c>
      <c r="C95" s="132"/>
      <c r="E95" s="131">
        <v>92</v>
      </c>
      <c r="F95" s="132"/>
    </row>
    <row r="96" spans="2:6" x14ac:dyDescent="0.3">
      <c r="B96" s="131">
        <v>93</v>
      </c>
      <c r="C96" s="132"/>
      <c r="E96" s="131">
        <v>93</v>
      </c>
      <c r="F96" s="132"/>
    </row>
    <row r="97" spans="1:17" x14ac:dyDescent="0.3">
      <c r="B97" s="131">
        <v>94</v>
      </c>
      <c r="C97" s="132"/>
      <c r="E97" s="131">
        <v>94</v>
      </c>
      <c r="F97" s="132"/>
    </row>
    <row r="98" spans="1:17" x14ac:dyDescent="0.3">
      <c r="B98" s="131">
        <v>95</v>
      </c>
      <c r="C98" s="132"/>
      <c r="E98" s="131">
        <v>95</v>
      </c>
      <c r="F98" s="132"/>
    </row>
    <row r="99" spans="1:17" x14ac:dyDescent="0.3">
      <c r="B99" s="131">
        <v>96</v>
      </c>
      <c r="C99" s="132"/>
      <c r="E99" s="131">
        <v>96</v>
      </c>
      <c r="F99" s="132"/>
    </row>
    <row r="100" spans="1:17" x14ac:dyDescent="0.3">
      <c r="B100" s="131">
        <v>97</v>
      </c>
      <c r="C100" s="132"/>
      <c r="E100" s="131">
        <v>97</v>
      </c>
      <c r="F100" s="132"/>
    </row>
    <row r="101" spans="1:17" x14ac:dyDescent="0.3">
      <c r="B101" s="131">
        <v>98</v>
      </c>
      <c r="C101" s="132"/>
      <c r="E101" s="131">
        <v>98</v>
      </c>
      <c r="F101" s="132"/>
    </row>
    <row r="102" spans="1:17" x14ac:dyDescent="0.3">
      <c r="B102" s="131">
        <v>99</v>
      </c>
      <c r="C102" s="132"/>
      <c r="E102" s="131">
        <v>99</v>
      </c>
      <c r="F102" s="132"/>
    </row>
    <row r="103" spans="1:17" x14ac:dyDescent="0.3">
      <c r="B103" s="131">
        <v>100</v>
      </c>
      <c r="C103" s="132"/>
      <c r="E103" s="131">
        <v>100</v>
      </c>
      <c r="F103" s="132"/>
    </row>
    <row r="104" spans="1:17" x14ac:dyDescent="0.3">
      <c r="B104" s="131">
        <v>101</v>
      </c>
      <c r="C104" s="132"/>
      <c r="E104" s="131">
        <v>101</v>
      </c>
      <c r="F104" s="132"/>
    </row>
    <row r="105" spans="1:17" x14ac:dyDescent="0.3"/>
    <row r="106" spans="1:17" s="109" customFormat="1" x14ac:dyDescent="0.3">
      <c r="A106" s="133"/>
      <c r="B106" s="133" t="s">
        <v>49</v>
      </c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1:17" x14ac:dyDescent="0.3"/>
  </sheetData>
  <sortState ref="C4:C20">
    <sortCondition ref="C4"/>
  </sortState>
  <mergeCells count="4">
    <mergeCell ref="B2:C2"/>
    <mergeCell ref="E2:F2"/>
    <mergeCell ref="I11:L17"/>
    <mergeCell ref="I2:L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O41"/>
  <sheetViews>
    <sheetView zoomScale="80" zoomScaleNormal="80" workbookViewId="0">
      <selection activeCell="A6" sqref="A6"/>
    </sheetView>
  </sheetViews>
  <sheetFormatPr defaultColWidth="12.44140625" defaultRowHeight="15.6" customHeight="1" x14ac:dyDescent="0.3"/>
  <cols>
    <col min="1" max="1" width="12.44140625" style="256" customWidth="1"/>
    <col min="2" max="16384" width="12.44140625" style="256"/>
  </cols>
  <sheetData>
    <row r="4" spans="1:1" s="250" customFormat="1" ht="15.6" customHeight="1" x14ac:dyDescent="0.5">
      <c r="A4" s="249"/>
    </row>
    <row r="5" spans="1:1" s="250" customFormat="1" ht="15.6" customHeight="1" x14ac:dyDescent="0.5">
      <c r="A5" s="251"/>
    </row>
    <row r="40" spans="1:15" s="250" customFormat="1" ht="30" customHeight="1" x14ac:dyDescent="0.5">
      <c r="A40" s="252" t="s">
        <v>161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3"/>
      <c r="N40" s="253"/>
      <c r="O40" s="253"/>
    </row>
    <row r="41" spans="1:15" s="250" customFormat="1" ht="30" customHeight="1" x14ac:dyDescent="0.5">
      <c r="A41" s="254" t="s">
        <v>162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5"/>
      <c r="N41" s="255"/>
      <c r="O41" s="255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40" sqref="A40:L41"/>
    </sheetView>
  </sheetViews>
  <sheetFormatPr defaultColWidth="12.44140625" defaultRowHeight="15.6" customHeight="1" x14ac:dyDescent="0.3"/>
  <cols>
    <col min="1" max="1" width="12.44140625" style="256" customWidth="1"/>
    <col min="2" max="16384" width="12.44140625" style="256"/>
  </cols>
  <sheetData>
    <row r="4" spans="1:1" s="250" customFormat="1" ht="15.6" customHeight="1" x14ac:dyDescent="0.5">
      <c r="A4" s="249"/>
    </row>
    <row r="5" spans="1:1" s="250" customFormat="1" ht="15.6" customHeight="1" x14ac:dyDescent="0.5">
      <c r="A5" s="251"/>
    </row>
    <row r="40" spans="1:15" s="250" customFormat="1" ht="30" customHeight="1" x14ac:dyDescent="0.5">
      <c r="A40" s="252" t="s">
        <v>161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3"/>
      <c r="N40" s="253"/>
      <c r="O40" s="253"/>
    </row>
    <row r="41" spans="1:15" s="250" customFormat="1" ht="30" customHeight="1" x14ac:dyDescent="0.5">
      <c r="A41" s="254" t="s">
        <v>162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5"/>
      <c r="N41" s="255"/>
      <c r="O41" s="255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07"/>
  <sheetViews>
    <sheetView showGridLines="0" workbookViewId="0">
      <selection activeCell="A13" sqref="A13:XFD107"/>
    </sheetView>
  </sheetViews>
  <sheetFormatPr defaultColWidth="0" defaultRowHeight="14.4" zeroHeight="1" x14ac:dyDescent="0.3"/>
  <cols>
    <col min="1" max="1" width="8.77734375" style="1" customWidth="1"/>
    <col min="2" max="2" width="19.77734375" style="1" customWidth="1"/>
    <col min="3" max="4" width="23.109375" style="1" customWidth="1"/>
    <col min="5" max="5" width="18" style="1" customWidth="1"/>
    <col min="6" max="6" width="8.77734375" style="1" customWidth="1"/>
    <col min="7" max="7" width="21.109375" style="4" customWidth="1"/>
    <col min="8" max="8" width="3.109375" style="1" customWidth="1"/>
    <col min="9" max="9" width="0" style="1" hidden="1" customWidth="1"/>
    <col min="10" max="16384" width="8.77734375" style="1" hidden="1"/>
  </cols>
  <sheetData>
    <row r="1" spans="1:8" x14ac:dyDescent="0.3"/>
    <row r="2" spans="1:8" x14ac:dyDescent="0.3">
      <c r="A2" s="3" t="s">
        <v>64</v>
      </c>
    </row>
    <row r="3" spans="1:8" x14ac:dyDescent="0.3"/>
    <row r="4" spans="1:8" s="5" customFormat="1" ht="28.8" x14ac:dyDescent="0.3">
      <c r="A4" s="137" t="s">
        <v>45</v>
      </c>
      <c r="B4" s="137" t="s">
        <v>112</v>
      </c>
      <c r="C4" s="137" t="s">
        <v>65</v>
      </c>
      <c r="D4" s="137" t="s">
        <v>111</v>
      </c>
      <c r="E4" s="137" t="s">
        <v>66</v>
      </c>
      <c r="F4" s="137" t="s">
        <v>46</v>
      </c>
      <c r="G4" s="137" t="s">
        <v>67</v>
      </c>
    </row>
    <row r="5" spans="1:8" x14ac:dyDescent="0.3">
      <c r="A5" s="6">
        <f>IF('Player Scoreboard'!C9&lt;&gt;"",'Player Scoreboard'!B9,"")</f>
        <v>1</v>
      </c>
      <c r="B5" s="6">
        <f ca="1">IF('Player Scoreboard'!$C9&lt;&gt;"",RANK('Player Scoreboard'!$D9,'Player Scoreboard'!$D$9:$D$13),"")</f>
        <v>1</v>
      </c>
      <c r="C5" s="6">
        <f ca="1">IF(A5&lt;&gt;"",SUMPRODUCT(($B$5:$B$9=$B5)*('Player Scoreboard'!$G$9:$G$13&gt;'Player Scoreboard'!$G9)),"")</f>
        <v>0</v>
      </c>
      <c r="D5" s="6">
        <f ca="1">IF(A5&lt;&gt;"",SUMPRODUCT(($B$5:$B$9=$B5)*($C$5:$C$9=$C5)*('Player Scoreboard'!$E$9:$E$13&gt;'Player Scoreboard'!$E9)),"")</f>
        <v>0</v>
      </c>
      <c r="E5" s="6">
        <f ca="1">IF(A5&lt;&gt;"",SUMPRODUCT(($B$5:$B$9=$B5)*($C$5:$C$9=$C5)*($D$5:$D$9=$D5)*($A$5:$A$9&lt;$A5)),"")</f>
        <v>0</v>
      </c>
      <c r="F5" s="6">
        <f ca="1">IFERROR(B5+C5+D5+E5,"")</f>
        <v>1</v>
      </c>
      <c r="G5" s="7" t="str">
        <f>IF(A5&lt;&gt;"",'Player Scoreboard'!C9,"")</f>
        <v>Player 1</v>
      </c>
    </row>
    <row r="6" spans="1:8" x14ac:dyDescent="0.3">
      <c r="A6" s="6">
        <f>IF('Player Scoreboard'!C10&lt;&gt;"",'Player Scoreboard'!B10,"")</f>
        <v>2</v>
      </c>
      <c r="B6" s="6">
        <f ca="1">IF('Player Scoreboard'!$C10&lt;&gt;"",RANK('Player Scoreboard'!$D10,'Player Scoreboard'!$D$9:$D$13),"")</f>
        <v>1</v>
      </c>
      <c r="C6" s="6">
        <f ca="1">IF(A6&lt;&gt;"",SUMPRODUCT(($B$5:$B$9=$B6)*('Player Scoreboard'!$G$9:$G$13&gt;'Player Scoreboard'!$G10)),"")</f>
        <v>0</v>
      </c>
      <c r="D6" s="6">
        <f ca="1">IF(A6&lt;&gt;"",SUMPRODUCT(($B$5:$B$9=$B6)*($C$5:$C$9=$C6)*('Player Scoreboard'!$E$9:$E$13&gt;'Player Scoreboard'!$E10)),"")</f>
        <v>0</v>
      </c>
      <c r="E6" s="6">
        <f ca="1">IF(A6&lt;&gt;"",SUMPRODUCT(($B$5:$B$9=$B6)*($C$5:$C$9=$C6)*($D$5:$D$9=$D6)*($A$5:$A$9&lt;$A6)),"")</f>
        <v>1</v>
      </c>
      <c r="F6" s="6">
        <f t="shared" ref="F6:F9" ca="1" si="0">IFERROR(B6+C6+D6+E6,"")</f>
        <v>2</v>
      </c>
      <c r="G6" s="7" t="str">
        <f>IF(A6&lt;&gt;"",'Player Scoreboard'!C10,"")</f>
        <v>Player 2</v>
      </c>
    </row>
    <row r="7" spans="1:8" x14ac:dyDescent="0.3">
      <c r="A7" s="6">
        <f>IF('Player Scoreboard'!C11&lt;&gt;"",'Player Scoreboard'!B11,"")</f>
        <v>3</v>
      </c>
      <c r="B7" s="6">
        <f ca="1">IF('Player Scoreboard'!$C11&lt;&gt;"",RANK('Player Scoreboard'!$D11,'Player Scoreboard'!$D$9:$D$13),"")</f>
        <v>1</v>
      </c>
      <c r="C7" s="6">
        <f ca="1">IF(A7&lt;&gt;"",SUMPRODUCT(($B$5:$B$9=$B7)*('Player Scoreboard'!$G$9:$G$13&gt;'Player Scoreboard'!$G11)),"")</f>
        <v>0</v>
      </c>
      <c r="D7" s="6">
        <f ca="1">IF(A7&lt;&gt;"",SUMPRODUCT(($B$5:$B$9=$B7)*($C$5:$C$9=$C7)*('Player Scoreboard'!$E$9:$E$13&gt;'Player Scoreboard'!$E11)),"")</f>
        <v>0</v>
      </c>
      <c r="E7" s="6">
        <f ca="1">IF(A7&lt;&gt;"",SUMPRODUCT(($B$5:$B$9=$B7)*($C$5:$C$9=$C7)*($D$5:$D$9=$D7)*($A$5:$A$9&lt;$A7)),"")</f>
        <v>2</v>
      </c>
      <c r="F7" s="6">
        <f t="shared" ca="1" si="0"/>
        <v>3</v>
      </c>
      <c r="G7" s="7" t="str">
        <f>IF(A7&lt;&gt;"",'Player Scoreboard'!C11,"")</f>
        <v>Player 3</v>
      </c>
    </row>
    <row r="8" spans="1:8" x14ac:dyDescent="0.3">
      <c r="A8" s="6">
        <f>IF('Player Scoreboard'!C12&lt;&gt;"",'Player Scoreboard'!B12,"")</f>
        <v>4</v>
      </c>
      <c r="B8" s="6">
        <f ca="1">IF('Player Scoreboard'!$C12&lt;&gt;"",RANK('Player Scoreboard'!$D12,'Player Scoreboard'!$D$9:$D$13),"")</f>
        <v>1</v>
      </c>
      <c r="C8" s="6">
        <f ca="1">IF(A8&lt;&gt;"",SUMPRODUCT(($B$5:$B$9=$B8)*('Player Scoreboard'!$G$9:$G$13&gt;'Player Scoreboard'!$G12)),"")</f>
        <v>0</v>
      </c>
      <c r="D8" s="6">
        <f ca="1">IF(A8&lt;&gt;"",SUMPRODUCT(($B$5:$B$9=$B8)*($C$5:$C$9=$C8)*('Player Scoreboard'!$E$9:$E$13&gt;'Player Scoreboard'!$E12)),"")</f>
        <v>0</v>
      </c>
      <c r="E8" s="6">
        <f ca="1">IF(A8&lt;&gt;"",SUMPRODUCT(($B$5:$B$9=$B8)*($C$5:$C$9=$C8)*($D$5:$D$9=$D8)*($A$5:$A$9&lt;$A8)),"")</f>
        <v>3</v>
      </c>
      <c r="F8" s="6">
        <f t="shared" ca="1" si="0"/>
        <v>4</v>
      </c>
      <c r="G8" s="7" t="str">
        <f>IF(A8&lt;&gt;"",'Player Scoreboard'!C12,"")</f>
        <v>Player 4</v>
      </c>
    </row>
    <row r="9" spans="1:8" x14ac:dyDescent="0.3">
      <c r="A9" s="6">
        <f>IF('Player Scoreboard'!C13&lt;&gt;"",'Player Scoreboard'!B13,"")</f>
        <v>5</v>
      </c>
      <c r="B9" s="6">
        <f ca="1">IF('Player Scoreboard'!$C13&lt;&gt;"",RANK('Player Scoreboard'!$D13,'Player Scoreboard'!$D$9:$D$13),"")</f>
        <v>1</v>
      </c>
      <c r="C9" s="6">
        <f ca="1">IF(A9&lt;&gt;"",SUMPRODUCT(($B$5:$B$9=$B9)*('Player Scoreboard'!$G$9:$G$13&gt;'Player Scoreboard'!$G13)),"")</f>
        <v>0</v>
      </c>
      <c r="D9" s="6">
        <f ca="1">IF(A9&lt;&gt;"",SUMPRODUCT(($B$5:$B$9=$B9)*($C$5:$C$9=$C9)*('Player Scoreboard'!$E$9:$E$13&gt;'Player Scoreboard'!$E13)),"")</f>
        <v>0</v>
      </c>
      <c r="E9" s="6">
        <f ca="1">IF(A9&lt;&gt;"",SUMPRODUCT(($B$5:$B$9=$B9)*($C$5:$C$9=$C9)*($D$5:$D$9=$D9)*($A$5:$A$9&lt;$A9)),"")</f>
        <v>4</v>
      </c>
      <c r="F9" s="6">
        <f t="shared" ca="1" si="0"/>
        <v>5</v>
      </c>
      <c r="G9" s="7" t="str">
        <f>IF(A9&lt;&gt;"",'Player Scoreboard'!C13,"")</f>
        <v>Player 5</v>
      </c>
    </row>
    <row r="10" spans="1:8" x14ac:dyDescent="0.3">
      <c r="A10" s="2"/>
    </row>
    <row r="11" spans="1:8" x14ac:dyDescent="0.3">
      <c r="A11" s="135" t="s">
        <v>49</v>
      </c>
      <c r="B11" s="135"/>
      <c r="C11" s="135"/>
      <c r="D11" s="135"/>
      <c r="E11" s="135"/>
      <c r="F11" s="135"/>
      <c r="G11" s="136"/>
      <c r="H11" s="135"/>
    </row>
    <row r="12" spans="1:8" x14ac:dyDescent="0.3"/>
    <row r="13" spans="1:8" hidden="1" x14ac:dyDescent="0.3"/>
    <row r="14" spans="1:8" hidden="1" x14ac:dyDescent="0.3"/>
    <row r="15" spans="1:8" hidden="1" x14ac:dyDescent="0.3"/>
    <row r="16" spans="1:8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32</vt:i4>
      </vt:variant>
    </vt:vector>
  </HeadingPairs>
  <TitlesOfParts>
    <vt:vector size="40" baseType="lpstr">
      <vt:lpstr>Setup</vt:lpstr>
      <vt:lpstr>All Players Board</vt:lpstr>
      <vt:lpstr>Player Scoreboard</vt:lpstr>
      <vt:lpstr>Player Leaderboard</vt:lpstr>
      <vt:lpstr>Best Player n Top Scorer</vt:lpstr>
      <vt:lpstr>Copyright</vt:lpstr>
      <vt:lpstr>Copyright-2</vt:lpstr>
      <vt:lpstr>Dummy Rank</vt:lpstr>
      <vt:lpstr>BestPlayer</vt:lpstr>
      <vt:lpstr>Fina1</vt:lpstr>
      <vt:lpstr>Fina2</vt:lpstr>
      <vt:lpstr>Fina3</vt:lpstr>
      <vt:lpstr>finalist</vt:lpstr>
      <vt:lpstr>KOMatchRule</vt:lpstr>
      <vt:lpstr>KOMatchTeam</vt:lpstr>
      <vt:lpstr>KOPSO</vt:lpstr>
      <vt:lpstr>Pena1</vt:lpstr>
      <vt:lpstr>Pena2</vt:lpstr>
      <vt:lpstr>Pena3</vt:lpstr>
      <vt:lpstr>'All Players Board'!Print_Area</vt:lpstr>
      <vt:lpstr>'Player Leaderboard'!Print_Area</vt:lpstr>
      <vt:lpstr>'Player Scoreboard'!Print_Area</vt:lpstr>
      <vt:lpstr>Setup!Print_Area</vt:lpstr>
      <vt:lpstr>Qualified</vt:lpstr>
      <vt:lpstr>Quar1</vt:lpstr>
      <vt:lpstr>Quar2</vt:lpstr>
      <vt:lpstr>Quar3</vt:lpstr>
      <vt:lpstr>quarterfinalist</vt:lpstr>
      <vt:lpstr>Round1</vt:lpstr>
      <vt:lpstr>Round2</vt:lpstr>
      <vt:lpstr>Round3</vt:lpstr>
      <vt:lpstr>Semi1</vt:lpstr>
      <vt:lpstr>Semi2</vt:lpstr>
      <vt:lpstr>Semi3</vt:lpstr>
      <vt:lpstr>semifinalist</vt:lpstr>
      <vt:lpstr>Thir1</vt:lpstr>
      <vt:lpstr>Thir2</vt:lpstr>
      <vt:lpstr>Thir3</vt:lpstr>
      <vt:lpstr>TopScorer</vt:lpstr>
      <vt:lpstr>ViewBoard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Musadya</dc:creator>
  <cp:keywords>world cup 2018, world cup 2018 schedule, world cup 2018 spreadsheet;world cup 2018 pool</cp:keywords>
  <cp:lastModifiedBy>IT</cp:lastModifiedBy>
  <cp:lastPrinted>2018-02-18T01:19:58Z</cp:lastPrinted>
  <dcterms:created xsi:type="dcterms:W3CDTF">2018-01-23T14:57:48Z</dcterms:created>
  <dcterms:modified xsi:type="dcterms:W3CDTF">2019-07-25T11:05:32Z</dcterms:modified>
</cp:coreProperties>
</file>