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codeName="ThisWorkbook" autoCompressPictures="0"/>
  <bookViews>
    <workbookView xWindow="2340" yWindow="1600" windowWidth="25600" windowHeight="16060"/>
  </bookViews>
  <sheets>
    <sheet name="Team Setup" sheetId="16" r:id="rId1"/>
    <sheet name="Group Stages" sheetId="1" r:id="rId2"/>
    <sheet name="Knock Out Phase" sheetId="15" r:id="rId3"/>
    <sheet name="Dummy Table" sheetId="2" state="hidden" r:id="rId4"/>
    <sheet name="Copyright" sheetId="20" r:id="rId5"/>
    <sheet name="Copyright-2" sheetId="21" state="hidden" r:id="rId6"/>
  </sheets>
  <definedNames>
    <definedName name="_xlnm._FilterDatabase" localSheetId="0" hidden="1">'Team Setup'!$A$4:$G$52</definedName>
    <definedName name="CLTeams">'Team Setup'!$B$56:$B$63</definedName>
    <definedName name="SemiTeam">'Knock Out Phase'!$Z$251:$Z$254</definedName>
    <definedName name="Team">'Team Setup'!$B$5:$B$52</definedName>
    <definedName name="WinQuart">'Knock Out Phase'!$H$251:$H$258</definedName>
    <definedName name="WinRound16">'Knock Out Phase'!$Z$152:$Z$167</definedName>
    <definedName name="_xlnm.Print_Area" localSheetId="1">'Group Stages'!$B$2:$AA$107</definedName>
    <definedName name="_xlnm.Print_Area" localSheetId="2">'Knock Out Phase'!$B$2:$AF$331</definedName>
    <definedName name="_xlnm.Print_Area" localSheetId="0">'Team Setup'!$A$4:$L$36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5" i="16" l="1"/>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CS52" i="2"/>
  <c r="X51" i="2"/>
  <c r="X50" i="2"/>
  <c r="CN50" i="2"/>
  <c r="X49" i="2"/>
  <c r="X48" i="2"/>
  <c r="CN48" i="2"/>
  <c r="X47" i="2"/>
  <c r="X46" i="2"/>
  <c r="X45" i="2"/>
  <c r="X44" i="2"/>
  <c r="CN44" i="2"/>
  <c r="X43" i="2"/>
  <c r="X42" i="2"/>
  <c r="X41" i="2"/>
  <c r="X40" i="2"/>
  <c r="CN40" i="2"/>
  <c r="X39" i="2"/>
  <c r="X38" i="2"/>
  <c r="CN38" i="2"/>
  <c r="X37" i="2"/>
  <c r="CN37" i="2"/>
  <c r="X36" i="2"/>
  <c r="CN36" i="2"/>
  <c r="X35" i="2"/>
  <c r="X34" i="2"/>
  <c r="X33" i="2"/>
  <c r="X32" i="2"/>
  <c r="X31" i="2"/>
  <c r="X30" i="2"/>
  <c r="X29" i="2"/>
  <c r="X28" i="2"/>
  <c r="X27" i="2"/>
  <c r="X26" i="2"/>
  <c r="X25" i="2"/>
  <c r="CN25" i="2"/>
  <c r="X24" i="2"/>
  <c r="X23" i="2"/>
  <c r="X22" i="2"/>
  <c r="X21" i="2"/>
  <c r="X20" i="2"/>
  <c r="X19" i="2"/>
  <c r="X18" i="2"/>
  <c r="X17" i="2"/>
  <c r="X16" i="2"/>
  <c r="X15" i="2"/>
  <c r="X14" i="2"/>
  <c r="X13" i="2"/>
  <c r="X12" i="2"/>
  <c r="X11" i="2"/>
  <c r="X10" i="2"/>
  <c r="X9" i="2"/>
  <c r="X8" i="2"/>
  <c r="X7" i="2"/>
  <c r="X6" i="2"/>
  <c r="X5" i="2"/>
  <c r="X4" i="2"/>
  <c r="P322" i="15"/>
  <c r="R322" i="15"/>
  <c r="Z312" i="15"/>
  <c r="AE315" i="15"/>
  <c r="H312" i="15"/>
  <c r="N317" i="15"/>
  <c r="Z303" i="15"/>
  <c r="AE306" i="15"/>
  <c r="H303" i="15"/>
  <c r="T303" i="15"/>
  <c r="AE316" i="15"/>
  <c r="F315" i="15"/>
  <c r="F314" i="15"/>
  <c r="F306" i="15"/>
  <c r="Z292" i="15"/>
  <c r="AE295" i="15"/>
  <c r="Z283" i="15"/>
  <c r="AE287" i="15"/>
  <c r="Z274" i="15"/>
  <c r="AE278" i="15"/>
  <c r="Z265" i="15"/>
  <c r="AE269" i="15"/>
  <c r="H292" i="15"/>
  <c r="F296" i="15"/>
  <c r="H283" i="15"/>
  <c r="F286" i="15"/>
  <c r="H274" i="15"/>
  <c r="F278" i="15"/>
  <c r="H265" i="15"/>
  <c r="F269" i="15"/>
  <c r="Z236" i="15"/>
  <c r="T241" i="15"/>
  <c r="Z227" i="15"/>
  <c r="AE231" i="15"/>
  <c r="Z218" i="15"/>
  <c r="AE222" i="15"/>
  <c r="Z209" i="15"/>
  <c r="AE213" i="15"/>
  <c r="H236" i="15"/>
  <c r="F239" i="15"/>
  <c r="H227" i="15"/>
  <c r="T227" i="15"/>
  <c r="H218" i="15"/>
  <c r="F222" i="15"/>
  <c r="H209" i="15"/>
  <c r="N214" i="15"/>
  <c r="S148" i="1"/>
  <c r="X148" i="1"/>
  <c r="H143" i="15"/>
  <c r="F147" i="15"/>
  <c r="S147" i="1"/>
  <c r="X147" i="1"/>
  <c r="H134" i="15"/>
  <c r="F138" i="15"/>
  <c r="S146" i="1"/>
  <c r="X146" i="1"/>
  <c r="H125" i="15"/>
  <c r="F129" i="15"/>
  <c r="S145" i="1"/>
  <c r="X145" i="1"/>
  <c r="H116" i="15"/>
  <c r="F119" i="15"/>
  <c r="S128" i="1"/>
  <c r="S127" i="1"/>
  <c r="S126" i="1"/>
  <c r="S125" i="1"/>
  <c r="T148" i="1"/>
  <c r="T147" i="1"/>
  <c r="T146" i="1"/>
  <c r="T145" i="1"/>
  <c r="T128" i="1"/>
  <c r="T127" i="1"/>
  <c r="T126" i="1"/>
  <c r="T125" i="1"/>
  <c r="X128" i="1"/>
  <c r="X127" i="1"/>
  <c r="X126" i="1"/>
  <c r="X125" i="1"/>
  <c r="R317" i="15"/>
  <c r="P317" i="15"/>
  <c r="AC312" i="15"/>
  <c r="T317" i="15"/>
  <c r="R308" i="15"/>
  <c r="P308" i="15"/>
  <c r="AC303" i="15"/>
  <c r="R297" i="15"/>
  <c r="P297" i="15"/>
  <c r="AC292" i="15"/>
  <c r="T297" i="15"/>
  <c r="R288" i="15"/>
  <c r="P288" i="15"/>
  <c r="AC283" i="15"/>
  <c r="R241" i="15"/>
  <c r="P241" i="15"/>
  <c r="AC236" i="15"/>
  <c r="R232" i="15"/>
  <c r="P232" i="15"/>
  <c r="AC227" i="15"/>
  <c r="R223" i="15"/>
  <c r="P223" i="15"/>
  <c r="AC218" i="15"/>
  <c r="R214" i="15"/>
  <c r="P214" i="15"/>
  <c r="AC209" i="15"/>
  <c r="R148" i="15"/>
  <c r="P148" i="15"/>
  <c r="AE143" i="15"/>
  <c r="R139" i="15"/>
  <c r="P139" i="15"/>
  <c r="AE134" i="15"/>
  <c r="R130" i="15"/>
  <c r="P130" i="15"/>
  <c r="AE125" i="15"/>
  <c r="Z125" i="15"/>
  <c r="R121" i="15"/>
  <c r="P121" i="15"/>
  <c r="AE116" i="15"/>
  <c r="Z116" i="15"/>
  <c r="AE120" i="15"/>
  <c r="R112" i="15"/>
  <c r="P112" i="15"/>
  <c r="AE107" i="15"/>
  <c r="R103" i="15"/>
  <c r="P103" i="15"/>
  <c r="AE98" i="15"/>
  <c r="R94" i="15"/>
  <c r="P94" i="15"/>
  <c r="AE89" i="15"/>
  <c r="R85" i="15"/>
  <c r="P85" i="15"/>
  <c r="AE80" i="15"/>
  <c r="DB49" i="2"/>
  <c r="DB48" i="2"/>
  <c r="DB45" i="2"/>
  <c r="DB44" i="2"/>
  <c r="DB41" i="2"/>
  <c r="DB40" i="2"/>
  <c r="DB37" i="2"/>
  <c r="DB36" i="2"/>
  <c r="B49" i="2"/>
  <c r="C49" i="2"/>
  <c r="D49" i="2"/>
  <c r="E49" i="2"/>
  <c r="J49" i="2"/>
  <c r="K49" i="2"/>
  <c r="L49" i="2"/>
  <c r="N49" i="2"/>
  <c r="CN49" i="2"/>
  <c r="B50" i="2"/>
  <c r="E50" i="2"/>
  <c r="B51" i="2"/>
  <c r="E51" i="2"/>
  <c r="CN51" i="2"/>
  <c r="B36" i="2"/>
  <c r="C36" i="2"/>
  <c r="B37" i="2"/>
  <c r="C37" i="2"/>
  <c r="B38" i="2"/>
  <c r="C38" i="2"/>
  <c r="B39" i="2"/>
  <c r="E39" i="2"/>
  <c r="CN39" i="2"/>
  <c r="B40" i="2"/>
  <c r="E40" i="2"/>
  <c r="B41" i="2"/>
  <c r="E41" i="2"/>
  <c r="CN41" i="2"/>
  <c r="B42" i="2"/>
  <c r="E42" i="2"/>
  <c r="CN42" i="2"/>
  <c r="B43" i="2"/>
  <c r="E43" i="2"/>
  <c r="CN43" i="2"/>
  <c r="B44" i="2"/>
  <c r="E44" i="2"/>
  <c r="B45" i="2"/>
  <c r="E45" i="2"/>
  <c r="CN45" i="2"/>
  <c r="B46" i="2"/>
  <c r="E46" i="2"/>
  <c r="CN46" i="2"/>
  <c r="B47" i="2"/>
  <c r="E47" i="2"/>
  <c r="CN47" i="2"/>
  <c r="B48" i="2"/>
  <c r="G48" i="2"/>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D57" i="1"/>
  <c r="D81" i="1"/>
  <c r="D105" i="1"/>
  <c r="D129" i="1"/>
  <c r="D153" i="1"/>
  <c r="D56" i="1"/>
  <c r="D80" i="1"/>
  <c r="D104" i="1"/>
  <c r="D128" i="1"/>
  <c r="D152" i="1"/>
  <c r="D55" i="1"/>
  <c r="D79" i="1"/>
  <c r="D103" i="1"/>
  <c r="D127" i="1"/>
  <c r="D151" i="1"/>
  <c r="D54" i="1"/>
  <c r="D78" i="1"/>
  <c r="D102" i="1"/>
  <c r="D126" i="1"/>
  <c r="D150" i="1"/>
  <c r="D53" i="1"/>
  <c r="D77" i="1"/>
  <c r="D101" i="1"/>
  <c r="D125" i="1"/>
  <c r="D149" i="1"/>
  <c r="D52" i="1"/>
  <c r="D76" i="1"/>
  <c r="D100" i="1"/>
  <c r="D124" i="1"/>
  <c r="D148" i="1"/>
  <c r="D51" i="1"/>
  <c r="D75" i="1"/>
  <c r="D99" i="1"/>
  <c r="D123" i="1"/>
  <c r="D147" i="1"/>
  <c r="D50" i="1"/>
  <c r="D74" i="1"/>
  <c r="D98" i="1"/>
  <c r="D122" i="1"/>
  <c r="D146" i="1"/>
  <c r="D49" i="1"/>
  <c r="D73" i="1"/>
  <c r="D97" i="1"/>
  <c r="D121" i="1"/>
  <c r="D145" i="1"/>
  <c r="D48" i="1"/>
  <c r="D72" i="1"/>
  <c r="D96" i="1"/>
  <c r="D120" i="1"/>
  <c r="D144" i="1"/>
  <c r="D47" i="1"/>
  <c r="D71" i="1"/>
  <c r="D95" i="1"/>
  <c r="D119" i="1"/>
  <c r="D143" i="1"/>
  <c r="D46" i="1"/>
  <c r="D70" i="1"/>
  <c r="D94" i="1"/>
  <c r="D118" i="1"/>
  <c r="D142" i="1"/>
  <c r="D45" i="1"/>
  <c r="D69" i="1"/>
  <c r="D93" i="1"/>
  <c r="D117" i="1"/>
  <c r="D141" i="1"/>
  <c r="D44" i="1"/>
  <c r="D68" i="1"/>
  <c r="D92" i="1"/>
  <c r="D116" i="1"/>
  <c r="D140" i="1"/>
  <c r="D43" i="1"/>
  <c r="D67" i="1"/>
  <c r="D91" i="1"/>
  <c r="D115" i="1"/>
  <c r="D139" i="1"/>
  <c r="D42" i="1"/>
  <c r="D66" i="1"/>
  <c r="D90" i="1"/>
  <c r="D114" i="1"/>
  <c r="D138" i="1"/>
  <c r="D41" i="1"/>
  <c r="D65" i="1"/>
  <c r="D89" i="1"/>
  <c r="D113" i="1"/>
  <c r="D137" i="1"/>
  <c r="D40" i="1"/>
  <c r="D64" i="1"/>
  <c r="D88" i="1"/>
  <c r="D112" i="1"/>
  <c r="D136" i="1"/>
  <c r="D39" i="1"/>
  <c r="D63" i="1"/>
  <c r="D87" i="1"/>
  <c r="D111" i="1"/>
  <c r="D135" i="1"/>
  <c r="D38" i="1"/>
  <c r="D62" i="1"/>
  <c r="D86" i="1"/>
  <c r="D110" i="1"/>
  <c r="D134" i="1"/>
  <c r="D37" i="1"/>
  <c r="D61" i="1"/>
  <c r="D85" i="1"/>
  <c r="D109" i="1"/>
  <c r="D133" i="1"/>
  <c r="D36" i="1"/>
  <c r="D60" i="1"/>
  <c r="D84" i="1"/>
  <c r="D108" i="1"/>
  <c r="D132" i="1"/>
  <c r="D35" i="1"/>
  <c r="D59" i="1"/>
  <c r="D83" i="1"/>
  <c r="D107" i="1"/>
  <c r="D131" i="1"/>
  <c r="D34" i="1"/>
  <c r="D58" i="1"/>
  <c r="D82" i="1"/>
  <c r="D106" i="1"/>
  <c r="D130" i="1"/>
  <c r="R49" i="2"/>
  <c r="F49" i="2"/>
  <c r="AE307" i="15"/>
  <c r="F287" i="15"/>
  <c r="T322" i="15"/>
  <c r="AE268" i="15"/>
  <c r="AE221" i="15"/>
  <c r="F221" i="15"/>
  <c r="K40" i="2"/>
  <c r="M49" i="2"/>
  <c r="T49" i="2"/>
  <c r="G49" i="2"/>
  <c r="U49" i="2"/>
  <c r="Z134" i="15"/>
  <c r="AE138" i="15"/>
  <c r="F240" i="15"/>
  <c r="AE240" i="15"/>
  <c r="F268" i="15"/>
  <c r="Z254" i="15"/>
  <c r="F128" i="15"/>
  <c r="F212" i="15"/>
  <c r="F230" i="15"/>
  <c r="AE212" i="15"/>
  <c r="AE230" i="15"/>
  <c r="F213" i="15"/>
  <c r="F231" i="15"/>
  <c r="F277" i="15"/>
  <c r="F295" i="15"/>
  <c r="AE239" i="15"/>
  <c r="P316" i="15"/>
  <c r="F316" i="15"/>
  <c r="F307" i="15"/>
  <c r="N308" i="15"/>
  <c r="N322" i="15"/>
  <c r="P329" i="15"/>
  <c r="AE296" i="15"/>
  <c r="AE286" i="15"/>
  <c r="AE277" i="15"/>
  <c r="N297" i="15"/>
  <c r="N227" i="15"/>
  <c r="T232" i="15"/>
  <c r="T292" i="15"/>
  <c r="AE128" i="15"/>
  <c r="AE129" i="15"/>
  <c r="T214" i="15"/>
  <c r="P213" i="15"/>
  <c r="P296" i="15"/>
  <c r="Z143" i="15"/>
  <c r="T148" i="15"/>
  <c r="P147" i="15"/>
  <c r="N209" i="15"/>
  <c r="T209" i="15"/>
  <c r="P307" i="15"/>
  <c r="N303" i="15"/>
  <c r="F146" i="15"/>
  <c r="F137" i="15"/>
  <c r="F120" i="15"/>
  <c r="AE119" i="15"/>
  <c r="J38" i="2"/>
  <c r="S49" i="2"/>
  <c r="F36" i="2"/>
  <c r="N43" i="2"/>
  <c r="G40" i="2"/>
  <c r="N38" i="2"/>
  <c r="D38" i="2"/>
  <c r="I38" i="2"/>
  <c r="L51" i="2"/>
  <c r="L38" i="2"/>
  <c r="I49" i="2"/>
  <c r="J45" i="2"/>
  <c r="D36" i="2"/>
  <c r="I36" i="2"/>
  <c r="F51" i="2"/>
  <c r="Q49" i="2"/>
  <c r="M36" i="2"/>
  <c r="G47" i="2"/>
  <c r="L47" i="2"/>
  <c r="S47" i="2"/>
  <c r="F47" i="2"/>
  <c r="N47" i="2"/>
  <c r="K47" i="2"/>
  <c r="D47" i="2"/>
  <c r="J47" i="2"/>
  <c r="C47" i="2"/>
  <c r="N40" i="2"/>
  <c r="N50" i="2"/>
  <c r="L45" i="2"/>
  <c r="S45" i="2"/>
  <c r="L43" i="2"/>
  <c r="S43" i="2"/>
  <c r="J51" i="2"/>
  <c r="K43" i="2"/>
  <c r="G45" i="2"/>
  <c r="D43" i="2"/>
  <c r="J37" i="2"/>
  <c r="Q37" i="2"/>
  <c r="N51" i="2"/>
  <c r="D51" i="2"/>
  <c r="J50" i="2"/>
  <c r="G43" i="2"/>
  <c r="U43" i="2"/>
  <c r="N42" i="2"/>
  <c r="F38" i="2"/>
  <c r="N37" i="2"/>
  <c r="F37" i="2"/>
  <c r="M51" i="2"/>
  <c r="T51" i="2"/>
  <c r="G51" i="2"/>
  <c r="C51" i="2"/>
  <c r="L50" i="2"/>
  <c r="S50" i="2"/>
  <c r="L37" i="2"/>
  <c r="E37" i="2"/>
  <c r="N46" i="2"/>
  <c r="G44" i="2"/>
  <c r="N39" i="2"/>
  <c r="K37" i="2"/>
  <c r="D37" i="2"/>
  <c r="I37" i="2"/>
  <c r="K51" i="2"/>
  <c r="P51" i="2"/>
  <c r="F50" i="2"/>
  <c r="K46" i="2"/>
  <c r="G46" i="2"/>
  <c r="U46" i="2"/>
  <c r="N45" i="2"/>
  <c r="F45" i="2"/>
  <c r="N44" i="2"/>
  <c r="J43" i="2"/>
  <c r="C43" i="2"/>
  <c r="K42" i="2"/>
  <c r="D40" i="2"/>
  <c r="G39" i="2"/>
  <c r="M37" i="2"/>
  <c r="G37" i="2"/>
  <c r="K36" i="2"/>
  <c r="D46" i="2"/>
  <c r="C45" i="2"/>
  <c r="G42" i="2"/>
  <c r="U42" i="2"/>
  <c r="N41" i="2"/>
  <c r="F43" i="2"/>
  <c r="D42" i="2"/>
  <c r="G41" i="2"/>
  <c r="E48" i="2"/>
  <c r="F48" i="2"/>
  <c r="H48" i="2"/>
  <c r="L48" i="2"/>
  <c r="C48" i="2"/>
  <c r="J48" i="2"/>
  <c r="D48" i="2"/>
  <c r="K48" i="2"/>
  <c r="N48" i="2"/>
  <c r="U48" i="2"/>
  <c r="K44" i="2"/>
  <c r="D44" i="2"/>
  <c r="K41" i="2"/>
  <c r="D41" i="2"/>
  <c r="K39" i="2"/>
  <c r="D39" i="2"/>
  <c r="D50" i="2"/>
  <c r="L46" i="2"/>
  <c r="S46" i="2"/>
  <c r="F46" i="2"/>
  <c r="K45" i="2"/>
  <c r="D45" i="2"/>
  <c r="J44" i="2"/>
  <c r="C44" i="2"/>
  <c r="L42" i="2"/>
  <c r="S42" i="2"/>
  <c r="F42" i="2"/>
  <c r="J41" i="2"/>
  <c r="C41" i="2"/>
  <c r="L40" i="2"/>
  <c r="S40" i="2"/>
  <c r="F40" i="2"/>
  <c r="J39" i="2"/>
  <c r="C39" i="2"/>
  <c r="K38" i="2"/>
  <c r="P38" i="2"/>
  <c r="E38" i="2"/>
  <c r="N36" i="2"/>
  <c r="J36" i="2"/>
  <c r="Q36" i="2"/>
  <c r="E36" i="2"/>
  <c r="S51" i="2"/>
  <c r="M50" i="2"/>
  <c r="G50" i="2"/>
  <c r="C50" i="2"/>
  <c r="J46" i="2"/>
  <c r="C46" i="2"/>
  <c r="L44" i="2"/>
  <c r="S44" i="2"/>
  <c r="F44" i="2"/>
  <c r="J42" i="2"/>
  <c r="C42" i="2"/>
  <c r="L41" i="2"/>
  <c r="S41" i="2"/>
  <c r="F41" i="2"/>
  <c r="J40" i="2"/>
  <c r="C40" i="2"/>
  <c r="L39" i="2"/>
  <c r="S39" i="2"/>
  <c r="F39" i="2"/>
  <c r="M38" i="2"/>
  <c r="G38" i="2"/>
  <c r="L36" i="2"/>
  <c r="G36" i="2"/>
  <c r="K50" i="2"/>
  <c r="T130" i="15"/>
  <c r="T312" i="15"/>
  <c r="T308" i="15"/>
  <c r="N312" i="15"/>
  <c r="N292" i="15"/>
  <c r="T236" i="15"/>
  <c r="N241" i="15"/>
  <c r="P240" i="15"/>
  <c r="N232" i="15"/>
  <c r="H257" i="15"/>
  <c r="N236" i="15"/>
  <c r="T125" i="15"/>
  <c r="N130" i="15"/>
  <c r="P129" i="15"/>
  <c r="T121" i="15"/>
  <c r="P120" i="15"/>
  <c r="N116" i="15"/>
  <c r="T143" i="15"/>
  <c r="N148" i="15"/>
  <c r="T134" i="15"/>
  <c r="N139" i="15"/>
  <c r="Z166" i="15"/>
  <c r="N125" i="15"/>
  <c r="BY36" i="2"/>
  <c r="CF36" i="2"/>
  <c r="CM36" i="2"/>
  <c r="P49" i="2"/>
  <c r="M48" i="2"/>
  <c r="M47" i="2"/>
  <c r="M46" i="2"/>
  <c r="M45" i="2"/>
  <c r="M44" i="2"/>
  <c r="M43" i="2"/>
  <c r="M42" i="2"/>
  <c r="M41" i="2"/>
  <c r="M40" i="2"/>
  <c r="M39" i="2"/>
  <c r="Q38" i="2"/>
  <c r="H44" i="2"/>
  <c r="O51" i="2"/>
  <c r="P46" i="2"/>
  <c r="Q47" i="2"/>
  <c r="W49" i="2"/>
  <c r="U51" i="2"/>
  <c r="H51" i="2"/>
  <c r="H40" i="2"/>
  <c r="U40" i="2"/>
  <c r="H38" i="2"/>
  <c r="I40" i="2"/>
  <c r="T38" i="2"/>
  <c r="R47" i="2"/>
  <c r="R40" i="2"/>
  <c r="H49" i="2"/>
  <c r="U50" i="2"/>
  <c r="U45" i="2"/>
  <c r="S38" i="2"/>
  <c r="O49" i="2"/>
  <c r="R36" i="2"/>
  <c r="Q45" i="2"/>
  <c r="O36" i="2"/>
  <c r="H41" i="2"/>
  <c r="H42" i="2"/>
  <c r="H46" i="2"/>
  <c r="H37" i="2"/>
  <c r="H39" i="2"/>
  <c r="R42" i="2"/>
  <c r="I41" i="2"/>
  <c r="I44" i="2"/>
  <c r="U44" i="2"/>
  <c r="U47" i="2"/>
  <c r="R51" i="2"/>
  <c r="H43" i="2"/>
  <c r="Q51" i="2"/>
  <c r="I45" i="2"/>
  <c r="T36" i="2"/>
  <c r="P42" i="2"/>
  <c r="S48" i="2"/>
  <c r="U39" i="2"/>
  <c r="P43" i="2"/>
  <c r="Q43" i="2"/>
  <c r="R37" i="2"/>
  <c r="P45" i="2"/>
  <c r="P50" i="2"/>
  <c r="Q39" i="2"/>
  <c r="U41" i="2"/>
  <c r="P37" i="2"/>
  <c r="W37" i="2"/>
  <c r="I48" i="2"/>
  <c r="I42" i="2"/>
  <c r="W42" i="2"/>
  <c r="N134" i="15"/>
  <c r="T139" i="15"/>
  <c r="P39" i="2"/>
  <c r="AE137" i="15"/>
  <c r="U37" i="2"/>
  <c r="I43" i="2"/>
  <c r="I47" i="2"/>
  <c r="H36" i="2"/>
  <c r="V36" i="2"/>
  <c r="R41" i="2"/>
  <c r="R39" i="2"/>
  <c r="Q48" i="2"/>
  <c r="R38" i="2"/>
  <c r="R43" i="2"/>
  <c r="Q44" i="2"/>
  <c r="I46" i="2"/>
  <c r="Q41" i="2"/>
  <c r="I50" i="2"/>
  <c r="N143" i="15"/>
  <c r="H258" i="15"/>
  <c r="Z167" i="15"/>
  <c r="P138" i="15"/>
  <c r="H255" i="15"/>
  <c r="P231" i="15"/>
  <c r="Z165" i="15"/>
  <c r="Z164" i="15"/>
  <c r="AE146" i="15"/>
  <c r="AE147" i="15"/>
  <c r="T116" i="15"/>
  <c r="H45" i="2"/>
  <c r="I39" i="2"/>
  <c r="R46" i="2"/>
  <c r="I51" i="2"/>
  <c r="W51" i="2"/>
  <c r="H50" i="2"/>
  <c r="P47" i="2"/>
  <c r="H47" i="2"/>
  <c r="Q46" i="2"/>
  <c r="P36" i="2"/>
  <c r="W36" i="2"/>
  <c r="V51" i="2"/>
  <c r="U38" i="2"/>
  <c r="Q40" i="2"/>
  <c r="P44" i="2"/>
  <c r="R44" i="2"/>
  <c r="S37" i="2"/>
  <c r="P40" i="2"/>
  <c r="O38" i="2"/>
  <c r="V38" i="2"/>
  <c r="O37" i="2"/>
  <c r="T37" i="2"/>
  <c r="Q42" i="2"/>
  <c r="T50" i="2"/>
  <c r="O50" i="2"/>
  <c r="U36" i="2"/>
  <c r="P41" i="2"/>
  <c r="P48" i="2"/>
  <c r="R50" i="2"/>
  <c r="Q50" i="2"/>
  <c r="N121" i="15"/>
  <c r="S36" i="2"/>
  <c r="R45" i="2"/>
  <c r="R48" i="2"/>
  <c r="W38" i="2"/>
  <c r="CF37" i="2"/>
  <c r="O39" i="2"/>
  <c r="T39" i="2"/>
  <c r="O42" i="2"/>
  <c r="T42" i="2"/>
  <c r="O48" i="2"/>
  <c r="V48" i="2"/>
  <c r="T48" i="2"/>
  <c r="O40" i="2"/>
  <c r="T40" i="2"/>
  <c r="T44" i="2"/>
  <c r="O44" i="2"/>
  <c r="V44" i="2"/>
  <c r="T46" i="2"/>
  <c r="O46" i="2"/>
  <c r="O41" i="2"/>
  <c r="T41" i="2"/>
  <c r="O47" i="2"/>
  <c r="T47" i="2"/>
  <c r="O43" i="2"/>
  <c r="T43" i="2"/>
  <c r="O45" i="2"/>
  <c r="T45" i="2"/>
  <c r="CN12" i="2"/>
  <c r="CN8" i="2"/>
  <c r="CU33" i="2"/>
  <c r="CT33" i="2"/>
  <c r="CU32" i="2"/>
  <c r="CT32" i="2"/>
  <c r="CU29" i="2"/>
  <c r="CT29" i="2"/>
  <c r="CU28" i="2"/>
  <c r="CT28" i="2"/>
  <c r="CU25" i="2"/>
  <c r="CT25" i="2"/>
  <c r="CU24" i="2"/>
  <c r="CT24" i="2"/>
  <c r="CU21" i="2"/>
  <c r="CT21" i="2"/>
  <c r="CU20" i="2"/>
  <c r="CT20" i="2"/>
  <c r="CU17" i="2"/>
  <c r="CT17" i="2"/>
  <c r="CU16" i="2"/>
  <c r="CT16" i="2"/>
  <c r="CU13" i="2"/>
  <c r="CU12" i="2"/>
  <c r="CU9" i="2"/>
  <c r="CU8" i="2"/>
  <c r="CU5" i="2"/>
  <c r="CU4" i="2"/>
  <c r="CT13" i="2"/>
  <c r="CT12" i="2"/>
  <c r="CT9" i="2"/>
  <c r="CT8" i="2"/>
  <c r="CT5" i="2"/>
  <c r="CT4" i="2"/>
  <c r="CN35" i="2"/>
  <c r="CN34" i="2"/>
  <c r="CN33" i="2"/>
  <c r="CN32" i="2"/>
  <c r="CN31" i="2"/>
  <c r="CN30" i="2"/>
  <c r="CN29" i="2"/>
  <c r="CN28" i="2"/>
  <c r="CN27" i="2"/>
  <c r="CN26" i="2"/>
  <c r="CN24" i="2"/>
  <c r="CN23" i="2"/>
  <c r="CN22" i="2"/>
  <c r="CN21" i="2"/>
  <c r="CN20" i="2"/>
  <c r="CN19" i="2"/>
  <c r="CN18" i="2"/>
  <c r="CN17" i="2"/>
  <c r="CN16" i="2"/>
  <c r="CN15" i="2"/>
  <c r="CN13" i="2"/>
  <c r="CN11" i="2"/>
  <c r="CN10" i="2"/>
  <c r="CN9" i="2"/>
  <c r="CN7" i="2"/>
  <c r="CN6" i="2"/>
  <c r="CN5" i="2"/>
  <c r="CN4" i="2"/>
  <c r="CN14" i="2"/>
  <c r="W46" i="2"/>
  <c r="V49" i="2"/>
  <c r="V40" i="2"/>
  <c r="W40" i="2"/>
  <c r="V41" i="2"/>
  <c r="V42" i="2"/>
  <c r="V37" i="2"/>
  <c r="V46" i="2"/>
  <c r="V39" i="2"/>
  <c r="W41" i="2"/>
  <c r="W44" i="2"/>
  <c r="W45" i="2"/>
  <c r="V43" i="2"/>
  <c r="W43" i="2"/>
  <c r="W47" i="2"/>
  <c r="W39" i="2"/>
  <c r="W50" i="2"/>
  <c r="W48" i="2"/>
  <c r="V45" i="2"/>
  <c r="V47" i="2"/>
  <c r="V50" i="2"/>
  <c r="BY37" i="2"/>
  <c r="CM37" i="2"/>
  <c r="Y40" i="2"/>
  <c r="Z39" i="2"/>
  <c r="Y42" i="2"/>
  <c r="Y46" i="2"/>
  <c r="Y45" i="2"/>
  <c r="Z40" i="2"/>
  <c r="Z41" i="2"/>
  <c r="Y38" i="2"/>
  <c r="Z43" i="2"/>
  <c r="Z42" i="2"/>
  <c r="Y41" i="2"/>
  <c r="Y47" i="2"/>
  <c r="Y37" i="2"/>
  <c r="Z38" i="2"/>
  <c r="Z37" i="2"/>
  <c r="Z36" i="2"/>
  <c r="Y44" i="2"/>
  <c r="Y48" i="2"/>
  <c r="Y36" i="2"/>
  <c r="Y39" i="2"/>
  <c r="Y43" i="2"/>
  <c r="Y50" i="2"/>
  <c r="Y51" i="2"/>
  <c r="Z48" i="2"/>
  <c r="Y49" i="2"/>
  <c r="Z45" i="2"/>
  <c r="Z50" i="2"/>
  <c r="Z51" i="2"/>
  <c r="Z49" i="2"/>
  <c r="Z47" i="2"/>
  <c r="Z46" i="2"/>
  <c r="Z44" i="2"/>
  <c r="H344" i="15"/>
  <c r="H345" i="15"/>
  <c r="H342" i="15"/>
  <c r="H343" i="15"/>
  <c r="H341" i="15"/>
  <c r="H339" i="15"/>
  <c r="H340" i="15"/>
  <c r="AA42" i="2"/>
  <c r="AB38" i="2"/>
  <c r="AA43" i="2"/>
  <c r="AB39" i="2"/>
  <c r="AA37" i="2"/>
  <c r="AA38" i="2"/>
  <c r="AB36" i="2"/>
  <c r="AB37" i="2"/>
  <c r="AA39" i="2"/>
  <c r="AA36" i="2"/>
  <c r="AB43" i="2"/>
  <c r="A43" i="2"/>
  <c r="AA41" i="2"/>
  <c r="AA40" i="2"/>
  <c r="AB42" i="2"/>
  <c r="AB41" i="2"/>
  <c r="AB40" i="2"/>
  <c r="AA44" i="2"/>
  <c r="AA47" i="2"/>
  <c r="AA48" i="2"/>
  <c r="AB49" i="2"/>
  <c r="AA45" i="2"/>
  <c r="AB50" i="2"/>
  <c r="AB47" i="2"/>
  <c r="AB51" i="2"/>
  <c r="AA50" i="2"/>
  <c r="AA51" i="2"/>
  <c r="AA49" i="2"/>
  <c r="AB48" i="2"/>
  <c r="AB45" i="2"/>
  <c r="AB46" i="2"/>
  <c r="AB44" i="2"/>
  <c r="AA46" i="2"/>
  <c r="CF40" i="2"/>
  <c r="A38" i="2"/>
  <c r="A42" i="2"/>
  <c r="A39" i="2"/>
  <c r="A49" i="2"/>
  <c r="A47" i="2"/>
  <c r="A41" i="2"/>
  <c r="A37" i="2"/>
  <c r="A44" i="2"/>
  <c r="A50" i="2"/>
  <c r="A36" i="2"/>
  <c r="A40" i="2"/>
  <c r="A48" i="2"/>
  <c r="A51" i="2"/>
  <c r="A45" i="2"/>
  <c r="A46" i="2"/>
  <c r="CF41" i="2"/>
  <c r="BY40" i="2"/>
  <c r="CM40" i="2"/>
  <c r="AD43" i="2"/>
  <c r="AE43" i="2"/>
  <c r="AD46" i="2"/>
  <c r="BQ46" i="2"/>
  <c r="AD51" i="2"/>
  <c r="BQ51" i="2"/>
  <c r="AD38" i="2"/>
  <c r="BQ38" i="2"/>
  <c r="AD40" i="2"/>
  <c r="AE40" i="2"/>
  <c r="AD49" i="2"/>
  <c r="AE49" i="2"/>
  <c r="AD48" i="2"/>
  <c r="BQ48" i="2"/>
  <c r="AD39" i="2"/>
  <c r="AE39" i="2"/>
  <c r="AD37" i="2"/>
  <c r="BQ37" i="2"/>
  <c r="AD36" i="2"/>
  <c r="AE36" i="2"/>
  <c r="AD41" i="2"/>
  <c r="BQ41" i="2"/>
  <c r="AD44" i="2"/>
  <c r="BQ44" i="2"/>
  <c r="AD42" i="2"/>
  <c r="BQ42" i="2"/>
  <c r="AD50" i="2"/>
  <c r="BQ50" i="2"/>
  <c r="AD45" i="2"/>
  <c r="AE45" i="2"/>
  <c r="AD47" i="2"/>
  <c r="AE47" i="2"/>
  <c r="BQ43" i="2"/>
  <c r="BY41" i="2"/>
  <c r="CM41" i="2"/>
  <c r="R279" i="15"/>
  <c r="P279" i="15"/>
  <c r="R270" i="15"/>
  <c r="P270" i="15"/>
  <c r="R205" i="15"/>
  <c r="P205" i="15"/>
  <c r="R196" i="15"/>
  <c r="P196" i="15"/>
  <c r="R187" i="15"/>
  <c r="P187" i="15"/>
  <c r="R178" i="15"/>
  <c r="P178" i="15"/>
  <c r="R76" i="15"/>
  <c r="P76" i="15"/>
  <c r="R67" i="15"/>
  <c r="P67" i="15"/>
  <c r="R58" i="15"/>
  <c r="P58" i="15"/>
  <c r="R49" i="15"/>
  <c r="P49" i="15"/>
  <c r="R40" i="15"/>
  <c r="P40" i="15"/>
  <c r="R31" i="15"/>
  <c r="P31" i="15"/>
  <c r="R22" i="15"/>
  <c r="P22" i="15"/>
  <c r="R13" i="15"/>
  <c r="P13" i="15"/>
  <c r="BQ39" i="2"/>
  <c r="AE38" i="2"/>
  <c r="AE46" i="2"/>
  <c r="AF47" i="2"/>
  <c r="BQ49" i="2"/>
  <c r="BR50" i="2"/>
  <c r="DB50" i="2"/>
  <c r="BR38" i="2"/>
  <c r="BR39" i="2"/>
  <c r="AE48" i="2"/>
  <c r="AF48" i="2"/>
  <c r="BQ40" i="2"/>
  <c r="AE51" i="2"/>
  <c r="AE37" i="2"/>
  <c r="AF36" i="2"/>
  <c r="DD36" i="2"/>
  <c r="BQ36" i="2"/>
  <c r="AE50" i="2"/>
  <c r="AF50" i="2"/>
  <c r="BP50" i="2"/>
  <c r="AE41" i="2"/>
  <c r="AF40" i="2"/>
  <c r="DD40" i="2"/>
  <c r="BQ45" i="2"/>
  <c r="AE44" i="2"/>
  <c r="AF44" i="2"/>
  <c r="BR42" i="2"/>
  <c r="DB42" i="2"/>
  <c r="AE42" i="2"/>
  <c r="BQ47" i="2"/>
  <c r="AF46" i="2"/>
  <c r="DD46" i="2"/>
  <c r="DE36" i="2"/>
  <c r="DE40" i="2"/>
  <c r="DB38" i="2"/>
  <c r="AF39" i="2"/>
  <c r="DD39" i="2"/>
  <c r="AF38" i="2"/>
  <c r="BP38" i="2"/>
  <c r="AF37" i="2"/>
  <c r="DD37" i="2"/>
  <c r="BP40" i="2"/>
  <c r="DD50" i="2"/>
  <c r="AF49" i="2"/>
  <c r="BR43" i="2"/>
  <c r="DB43" i="2"/>
  <c r="AF51" i="2"/>
  <c r="BR51" i="2"/>
  <c r="DB51" i="2"/>
  <c r="AF42" i="2"/>
  <c r="DD42" i="2"/>
  <c r="BR46" i="2"/>
  <c r="DB46" i="2"/>
  <c r="AF41" i="2"/>
  <c r="DD41" i="2"/>
  <c r="AF43" i="2"/>
  <c r="BP44" i="2"/>
  <c r="DD44" i="2"/>
  <c r="AF45" i="2"/>
  <c r="DD45" i="2"/>
  <c r="BP46" i="2"/>
  <c r="BP47" i="2"/>
  <c r="DD47" i="2"/>
  <c r="BP36" i="2"/>
  <c r="BP48" i="2"/>
  <c r="DD48" i="2"/>
  <c r="DB39" i="2"/>
  <c r="BY44" i="2"/>
  <c r="CF44" i="2"/>
  <c r="T270" i="15"/>
  <c r="T279" i="15"/>
  <c r="N279" i="15"/>
  <c r="N270" i="15"/>
  <c r="BP39" i="2"/>
  <c r="DE41" i="2"/>
  <c r="DE44" i="2"/>
  <c r="DE37" i="2"/>
  <c r="DE48" i="2"/>
  <c r="BP37" i="2"/>
  <c r="DD38" i="2"/>
  <c r="DE39" i="2"/>
  <c r="DD49" i="2"/>
  <c r="DE49" i="2"/>
  <c r="BP49" i="2"/>
  <c r="BP42" i="2"/>
  <c r="DE42" i="2"/>
  <c r="BP51" i="2"/>
  <c r="DD51" i="2"/>
  <c r="DE45" i="2"/>
  <c r="BR47" i="2"/>
  <c r="DB47" i="2"/>
  <c r="DE46" i="2"/>
  <c r="BP41" i="2"/>
  <c r="DD43" i="2"/>
  <c r="DE43" i="2"/>
  <c r="BP43" i="2"/>
  <c r="BP45" i="2"/>
  <c r="DE47" i="2"/>
  <c r="P269" i="15"/>
  <c r="Z251" i="15"/>
  <c r="P278" i="15"/>
  <c r="Z252" i="15"/>
  <c r="CM44" i="2"/>
  <c r="CF45" i="2"/>
  <c r="BY45" i="2"/>
  <c r="DE38" i="2"/>
  <c r="DE50" i="2"/>
  <c r="DE51" i="2"/>
  <c r="CM45" i="2"/>
  <c r="CF48" i="2"/>
  <c r="CF49" i="2"/>
  <c r="BY49" i="2"/>
  <c r="CM49" i="2"/>
  <c r="BY48" i="2"/>
  <c r="CM48" i="2"/>
  <c r="CF50" i="2"/>
  <c r="AD25" i="1"/>
  <c r="AC25" i="1"/>
  <c r="AD24" i="1"/>
  <c r="AC24" i="1"/>
  <c r="AD23" i="1"/>
  <c r="AC23" i="1"/>
  <c r="AD22" i="1"/>
  <c r="AC22" i="1"/>
  <c r="AD21" i="1"/>
  <c r="AC21" i="1"/>
  <c r="AD20" i="1"/>
  <c r="AC20" i="1"/>
  <c r="AD19" i="1"/>
  <c r="AC19" i="1"/>
  <c r="AD18" i="1"/>
  <c r="AC18" i="1"/>
  <c r="AD17" i="1"/>
  <c r="AC17" i="1"/>
  <c r="AD16" i="1"/>
  <c r="AC16" i="1"/>
  <c r="AD15" i="1"/>
  <c r="AC15" i="1"/>
  <c r="AD14" i="1"/>
  <c r="AC14" i="1"/>
  <c r="AD13" i="1"/>
  <c r="AC13" i="1"/>
  <c r="AD12" i="1"/>
  <c r="AC12" i="1"/>
  <c r="AD11" i="1"/>
  <c r="AC11" i="1"/>
  <c r="AD10" i="1"/>
  <c r="AC10" i="1"/>
  <c r="BY50" i="2"/>
  <c r="CM50" i="2"/>
  <c r="CF51" i="2"/>
  <c r="B8" i="2"/>
  <c r="B9" i="2"/>
  <c r="B10" i="2"/>
  <c r="B11" i="2"/>
  <c r="B20" i="2"/>
  <c r="B21" i="2"/>
  <c r="B22" i="2"/>
  <c r="B23" i="2"/>
  <c r="B16" i="2"/>
  <c r="B17" i="2"/>
  <c r="B18" i="2"/>
  <c r="B19" i="2"/>
  <c r="B4" i="2"/>
  <c r="B5" i="2"/>
  <c r="B6" i="2"/>
  <c r="B7" i="2"/>
  <c r="B24" i="2"/>
  <c r="B25" i="2"/>
  <c r="B26" i="2"/>
  <c r="B27" i="2"/>
  <c r="B32" i="2"/>
  <c r="B33" i="2"/>
  <c r="B34" i="2"/>
  <c r="B35" i="2"/>
  <c r="B28" i="2"/>
  <c r="B29" i="2"/>
  <c r="B30" i="2"/>
  <c r="B31" i="2"/>
  <c r="B12" i="2"/>
  <c r="B13" i="2"/>
  <c r="B14" i="2"/>
  <c r="B15" i="2"/>
  <c r="Z200" i="15"/>
  <c r="Z191" i="15"/>
  <c r="Z182" i="15"/>
  <c r="H182" i="15"/>
  <c r="H173" i="15"/>
  <c r="Z173" i="15"/>
  <c r="AC274" i="15"/>
  <c r="AC265" i="15"/>
  <c r="H200" i="15"/>
  <c r="H191" i="15"/>
  <c r="AC200" i="15"/>
  <c r="AC191" i="15"/>
  <c r="AC182" i="15"/>
  <c r="AC173" i="15"/>
  <c r="AE71" i="15"/>
  <c r="AE62" i="15"/>
  <c r="AE53" i="15"/>
  <c r="AE44" i="15"/>
  <c r="AE35" i="15"/>
  <c r="AE26" i="15"/>
  <c r="AE17" i="15"/>
  <c r="AE8" i="15"/>
  <c r="BY32" i="2"/>
  <c r="CF32" i="2"/>
  <c r="CM32" i="2"/>
  <c r="BY33" i="2"/>
  <c r="CF33" i="2"/>
  <c r="CM33" i="2"/>
  <c r="DB33" i="2"/>
  <c r="DB32" i="2"/>
  <c r="CM28" i="2"/>
  <c r="CM29" i="2"/>
  <c r="DB29" i="2"/>
  <c r="DA29" i="2"/>
  <c r="CF29" i="2"/>
  <c r="BY29" i="2"/>
  <c r="DB28" i="2"/>
  <c r="DA28" i="2"/>
  <c r="CF28" i="2"/>
  <c r="BY28" i="2"/>
  <c r="CM24" i="2"/>
  <c r="CM25" i="2"/>
  <c r="DB25" i="2"/>
  <c r="DA25" i="2"/>
  <c r="CF25" i="2"/>
  <c r="BY25" i="2"/>
  <c r="DB24" i="2"/>
  <c r="DA24" i="2"/>
  <c r="CF24" i="2"/>
  <c r="BY24" i="2"/>
  <c r="CM20" i="2"/>
  <c r="CM21" i="2"/>
  <c r="DB21" i="2"/>
  <c r="DA21" i="2"/>
  <c r="CF21" i="2"/>
  <c r="BY21" i="2"/>
  <c r="DB20" i="2"/>
  <c r="DA20" i="2"/>
  <c r="CF20" i="2"/>
  <c r="BY20" i="2"/>
  <c r="CM16" i="2"/>
  <c r="BY17" i="2"/>
  <c r="CF17" i="2"/>
  <c r="CM17" i="2"/>
  <c r="DB17" i="2"/>
  <c r="DB16" i="2"/>
  <c r="DA16" i="2"/>
  <c r="CF16" i="2"/>
  <c r="BY16" i="2"/>
  <c r="CM12" i="2"/>
  <c r="CM13" i="2"/>
  <c r="DB13" i="2"/>
  <c r="DA13" i="2"/>
  <c r="CF13" i="2"/>
  <c r="BY13" i="2"/>
  <c r="DB12" i="2"/>
  <c r="DA12" i="2"/>
  <c r="CF12" i="2"/>
  <c r="BY12" i="2"/>
  <c r="CM8" i="2"/>
  <c r="CM9" i="2"/>
  <c r="DB9" i="2"/>
  <c r="DA9" i="2"/>
  <c r="CF9" i="2"/>
  <c r="BY9" i="2"/>
  <c r="DB8" i="2"/>
  <c r="DA8" i="2"/>
  <c r="CF8" i="2"/>
  <c r="BY8" i="2"/>
  <c r="CM4" i="2"/>
  <c r="CM5" i="2"/>
  <c r="BY4" i="2"/>
  <c r="CF4" i="2"/>
  <c r="BY5" i="2"/>
  <c r="CF5" i="2"/>
  <c r="DB5" i="2"/>
  <c r="DB4" i="2"/>
  <c r="DA4" i="2"/>
  <c r="DA5" i="2"/>
  <c r="DA17" i="2"/>
  <c r="DA32" i="2"/>
  <c r="DA33" i="2"/>
  <c r="BD50" i="2"/>
  <c r="BD49" i="2"/>
  <c r="BD48" i="2"/>
  <c r="BD47" i="2"/>
  <c r="BD46" i="2"/>
  <c r="BD51" i="2"/>
  <c r="BD36" i="2"/>
  <c r="BD42" i="2"/>
  <c r="BD38" i="2"/>
  <c r="BD43" i="2"/>
  <c r="BD39" i="2"/>
  <c r="BD37" i="2"/>
  <c r="F195" i="15"/>
  <c r="F194" i="15"/>
  <c r="AE177" i="15"/>
  <c r="AE176" i="15"/>
  <c r="AE195" i="15"/>
  <c r="AE194" i="15"/>
  <c r="F203" i="15"/>
  <c r="F204" i="15"/>
  <c r="F177" i="15"/>
  <c r="F176" i="15"/>
  <c r="T205" i="15"/>
  <c r="H254" i="15"/>
  <c r="AE203" i="15"/>
  <c r="AE204" i="15"/>
  <c r="F185" i="15"/>
  <c r="F186" i="15"/>
  <c r="AE185" i="15"/>
  <c r="AE186" i="15"/>
  <c r="N223" i="15"/>
  <c r="T218" i="15"/>
  <c r="T288" i="15"/>
  <c r="N283" i="15"/>
  <c r="K13" i="2"/>
  <c r="E13" i="2"/>
  <c r="N13" i="2"/>
  <c r="J13" i="2"/>
  <c r="D13" i="2"/>
  <c r="M13" i="2"/>
  <c r="G13" i="2"/>
  <c r="C13" i="2"/>
  <c r="L13" i="2"/>
  <c r="F13" i="2"/>
  <c r="N29" i="2"/>
  <c r="J29" i="2"/>
  <c r="D29" i="2"/>
  <c r="L29" i="2"/>
  <c r="F29" i="2"/>
  <c r="K29" i="2"/>
  <c r="G29" i="2"/>
  <c r="E29" i="2"/>
  <c r="S29" i="2"/>
  <c r="M29" i="2"/>
  <c r="C29" i="2"/>
  <c r="Q29" i="2"/>
  <c r="N33" i="2"/>
  <c r="J33" i="2"/>
  <c r="D33" i="2"/>
  <c r="L33" i="2"/>
  <c r="F33" i="2"/>
  <c r="K33" i="2"/>
  <c r="G33" i="2"/>
  <c r="E33" i="2"/>
  <c r="M33" i="2"/>
  <c r="C33" i="2"/>
  <c r="L25" i="2"/>
  <c r="F25" i="2"/>
  <c r="J25" i="2"/>
  <c r="C25" i="2"/>
  <c r="N25" i="2"/>
  <c r="G25" i="2"/>
  <c r="M25" i="2"/>
  <c r="E25" i="2"/>
  <c r="K25" i="2"/>
  <c r="D25" i="2"/>
  <c r="K5" i="2"/>
  <c r="E5" i="2"/>
  <c r="N5" i="2"/>
  <c r="J5" i="2"/>
  <c r="D5" i="2"/>
  <c r="M5" i="2"/>
  <c r="G5" i="2"/>
  <c r="C5" i="2"/>
  <c r="F5" i="2"/>
  <c r="L5" i="2"/>
  <c r="K17" i="2"/>
  <c r="E17" i="2"/>
  <c r="N17" i="2"/>
  <c r="J17" i="2"/>
  <c r="D17" i="2"/>
  <c r="R17" i="2"/>
  <c r="M17" i="2"/>
  <c r="G17" i="2"/>
  <c r="C17" i="2"/>
  <c r="L17" i="2"/>
  <c r="F17" i="2"/>
  <c r="L21" i="2"/>
  <c r="F21" i="2"/>
  <c r="M21" i="2"/>
  <c r="E21" i="2"/>
  <c r="K21" i="2"/>
  <c r="D21" i="2"/>
  <c r="J21" i="2"/>
  <c r="C21" i="2"/>
  <c r="N21" i="2"/>
  <c r="G21" i="2"/>
  <c r="K9" i="2"/>
  <c r="E9" i="2"/>
  <c r="L9" i="2"/>
  <c r="N9" i="2"/>
  <c r="J9" i="2"/>
  <c r="D9" i="2"/>
  <c r="M9" i="2"/>
  <c r="G9" i="2"/>
  <c r="C9" i="2"/>
  <c r="F9" i="2"/>
  <c r="M12" i="2"/>
  <c r="G12" i="2"/>
  <c r="C12" i="2"/>
  <c r="L12" i="2"/>
  <c r="F12" i="2"/>
  <c r="E12" i="2"/>
  <c r="K12" i="2"/>
  <c r="N12" i="2"/>
  <c r="J12" i="2"/>
  <c r="D12" i="2"/>
  <c r="L28" i="2"/>
  <c r="F28" i="2"/>
  <c r="N28" i="2"/>
  <c r="J28" i="2"/>
  <c r="D28" i="2"/>
  <c r="M28" i="2"/>
  <c r="C28" i="2"/>
  <c r="K28" i="2"/>
  <c r="G28" i="2"/>
  <c r="E28" i="2"/>
  <c r="L32" i="2"/>
  <c r="F32" i="2"/>
  <c r="N32" i="2"/>
  <c r="J32" i="2"/>
  <c r="D32" i="2"/>
  <c r="M32" i="2"/>
  <c r="C32" i="2"/>
  <c r="K32" i="2"/>
  <c r="G32" i="2"/>
  <c r="E32" i="2"/>
  <c r="N24" i="2"/>
  <c r="J24" i="2"/>
  <c r="D24" i="2"/>
  <c r="G24" i="2"/>
  <c r="M24" i="2"/>
  <c r="F24" i="2"/>
  <c r="L24" i="2"/>
  <c r="E24" i="2"/>
  <c r="K24" i="2"/>
  <c r="C24" i="2"/>
  <c r="M4" i="2"/>
  <c r="G4" i="2"/>
  <c r="C4" i="2"/>
  <c r="D4" i="2"/>
  <c r="L4" i="2"/>
  <c r="F4" i="2"/>
  <c r="E4" i="2"/>
  <c r="N4" i="2"/>
  <c r="J4" i="2"/>
  <c r="K4" i="2"/>
  <c r="BD41" i="2"/>
  <c r="BD45" i="2"/>
  <c r="BD44" i="2"/>
  <c r="BD40" i="2"/>
  <c r="M16" i="2"/>
  <c r="G16" i="2"/>
  <c r="C16" i="2"/>
  <c r="L16" i="2"/>
  <c r="F16" i="2"/>
  <c r="K16" i="2"/>
  <c r="E16" i="2"/>
  <c r="N16" i="2"/>
  <c r="J16" i="2"/>
  <c r="D16" i="2"/>
  <c r="I16" i="2"/>
  <c r="M20" i="2"/>
  <c r="G20" i="2"/>
  <c r="C20" i="2"/>
  <c r="L20" i="2"/>
  <c r="F20" i="2"/>
  <c r="K20" i="2"/>
  <c r="E20" i="2"/>
  <c r="N20" i="2"/>
  <c r="J20" i="2"/>
  <c r="D20" i="2"/>
  <c r="M8" i="2"/>
  <c r="G8" i="2"/>
  <c r="C8" i="2"/>
  <c r="L8" i="2"/>
  <c r="F8" i="2"/>
  <c r="E8" i="2"/>
  <c r="K8" i="2"/>
  <c r="N8" i="2"/>
  <c r="J8" i="2"/>
  <c r="D8" i="2"/>
  <c r="K15" i="2"/>
  <c r="E15" i="2"/>
  <c r="N15" i="2"/>
  <c r="J15" i="2"/>
  <c r="D15" i="2"/>
  <c r="M15" i="2"/>
  <c r="G15" i="2"/>
  <c r="C15" i="2"/>
  <c r="L15" i="2"/>
  <c r="F15" i="2"/>
  <c r="N31" i="2"/>
  <c r="J31" i="2"/>
  <c r="D31" i="2"/>
  <c r="L31" i="2"/>
  <c r="F31" i="2"/>
  <c r="E31" i="2"/>
  <c r="M31" i="2"/>
  <c r="C31" i="2"/>
  <c r="K31" i="2"/>
  <c r="G31" i="2"/>
  <c r="N35" i="2"/>
  <c r="J35" i="2"/>
  <c r="D35" i="2"/>
  <c r="L35" i="2"/>
  <c r="F35" i="2"/>
  <c r="K35" i="2"/>
  <c r="E35" i="2"/>
  <c r="C35" i="2"/>
  <c r="M35" i="2"/>
  <c r="G35" i="2"/>
  <c r="N27" i="2"/>
  <c r="J27" i="2"/>
  <c r="D27" i="2"/>
  <c r="L27" i="2"/>
  <c r="F27" i="2"/>
  <c r="E27" i="2"/>
  <c r="M27" i="2"/>
  <c r="C27" i="2"/>
  <c r="K27" i="2"/>
  <c r="G27" i="2"/>
  <c r="K7" i="2"/>
  <c r="E7" i="2"/>
  <c r="N7" i="2"/>
  <c r="J7" i="2"/>
  <c r="D7" i="2"/>
  <c r="L7" i="2"/>
  <c r="M7" i="2"/>
  <c r="G7" i="2"/>
  <c r="C7" i="2"/>
  <c r="F7" i="2"/>
  <c r="K19" i="2"/>
  <c r="E19" i="2"/>
  <c r="N19" i="2"/>
  <c r="J19" i="2"/>
  <c r="D19" i="2"/>
  <c r="M19" i="2"/>
  <c r="G19" i="2"/>
  <c r="U19" i="2"/>
  <c r="C19" i="2"/>
  <c r="L19" i="2"/>
  <c r="F19" i="2"/>
  <c r="L23" i="2"/>
  <c r="F23" i="2"/>
  <c r="N23" i="2"/>
  <c r="G23" i="2"/>
  <c r="M23" i="2"/>
  <c r="E23" i="2"/>
  <c r="K23" i="2"/>
  <c r="D23" i="2"/>
  <c r="J23" i="2"/>
  <c r="C23" i="2"/>
  <c r="K11" i="2"/>
  <c r="E11" i="2"/>
  <c r="N11" i="2"/>
  <c r="J11" i="2"/>
  <c r="D11" i="2"/>
  <c r="M11" i="2"/>
  <c r="G11" i="2"/>
  <c r="C11" i="2"/>
  <c r="L11" i="2"/>
  <c r="F11" i="2"/>
  <c r="M14" i="2"/>
  <c r="G14" i="2"/>
  <c r="C14" i="2"/>
  <c r="L14" i="2"/>
  <c r="F14" i="2"/>
  <c r="K14" i="2"/>
  <c r="E14" i="2"/>
  <c r="N14" i="2"/>
  <c r="J14" i="2"/>
  <c r="D14" i="2"/>
  <c r="L30" i="2"/>
  <c r="F30" i="2"/>
  <c r="N30" i="2"/>
  <c r="J30" i="2"/>
  <c r="D30" i="2"/>
  <c r="G30" i="2"/>
  <c r="E30" i="2"/>
  <c r="M30" i="2"/>
  <c r="C30" i="2"/>
  <c r="K30" i="2"/>
  <c r="L34" i="2"/>
  <c r="F34" i="2"/>
  <c r="N34" i="2"/>
  <c r="J34" i="2"/>
  <c r="D34" i="2"/>
  <c r="M34" i="2"/>
  <c r="G34" i="2"/>
  <c r="C34" i="2"/>
  <c r="K34" i="2"/>
  <c r="E34" i="2"/>
  <c r="N26" i="2"/>
  <c r="J26" i="2"/>
  <c r="D26" i="2"/>
  <c r="K26" i="2"/>
  <c r="C26" i="2"/>
  <c r="G26" i="2"/>
  <c r="M26" i="2"/>
  <c r="F26" i="2"/>
  <c r="L26" i="2"/>
  <c r="E26" i="2"/>
  <c r="M6" i="2"/>
  <c r="G6" i="2"/>
  <c r="C6" i="2"/>
  <c r="N6" i="2"/>
  <c r="D6" i="2"/>
  <c r="L6" i="2"/>
  <c r="F6" i="2"/>
  <c r="K6" i="2"/>
  <c r="E6" i="2"/>
  <c r="J6" i="2"/>
  <c r="M18" i="2"/>
  <c r="G18" i="2"/>
  <c r="C18" i="2"/>
  <c r="L18" i="2"/>
  <c r="F18" i="2"/>
  <c r="K18" i="2"/>
  <c r="E18" i="2"/>
  <c r="N18" i="2"/>
  <c r="J18" i="2"/>
  <c r="D18" i="2"/>
  <c r="N22" i="2"/>
  <c r="J22" i="2"/>
  <c r="D22" i="2"/>
  <c r="M22" i="2"/>
  <c r="F22" i="2"/>
  <c r="L22" i="2"/>
  <c r="E22" i="2"/>
  <c r="K22" i="2"/>
  <c r="C22" i="2"/>
  <c r="G22" i="2"/>
  <c r="M10" i="2"/>
  <c r="G10" i="2"/>
  <c r="C10" i="2"/>
  <c r="L10" i="2"/>
  <c r="F10" i="2"/>
  <c r="K10" i="2"/>
  <c r="D10" i="2"/>
  <c r="E10" i="2"/>
  <c r="N10" i="2"/>
  <c r="J10" i="2"/>
  <c r="BY51" i="2"/>
  <c r="CM51" i="2"/>
  <c r="CP50" i="2"/>
  <c r="T13" i="2"/>
  <c r="N182" i="15"/>
  <c r="T187" i="15"/>
  <c r="T191" i="15"/>
  <c r="N196" i="15"/>
  <c r="H253" i="15"/>
  <c r="T178" i="15"/>
  <c r="T196" i="15"/>
  <c r="N205" i="15"/>
  <c r="N178" i="15"/>
  <c r="H251" i="15"/>
  <c r="N187" i="15"/>
  <c r="H252" i="15"/>
  <c r="O28" i="2"/>
  <c r="N191" i="15"/>
  <c r="N173" i="15"/>
  <c r="N200" i="15"/>
  <c r="T182" i="15"/>
  <c r="T173" i="15"/>
  <c r="AD49" i="1"/>
  <c r="AC49" i="1"/>
  <c r="AC45" i="1"/>
  <c r="AD45" i="1"/>
  <c r="AC53" i="1"/>
  <c r="AD53" i="1"/>
  <c r="AD26" i="1"/>
  <c r="AC26" i="1"/>
  <c r="AD43" i="1"/>
  <c r="AC43" i="1"/>
  <c r="AD60" i="1"/>
  <c r="AC60" i="1"/>
  <c r="AD30" i="1"/>
  <c r="AC30" i="1"/>
  <c r="AC47" i="1"/>
  <c r="AD47" i="1"/>
  <c r="AD64" i="1"/>
  <c r="AC64" i="1"/>
  <c r="AD34" i="1"/>
  <c r="AC34" i="1"/>
  <c r="AC51" i="1"/>
  <c r="AD51" i="1"/>
  <c r="AD68" i="1"/>
  <c r="AC68" i="1"/>
  <c r="AD38" i="1"/>
  <c r="AC38" i="1"/>
  <c r="AD39" i="1"/>
  <c r="AC39" i="1"/>
  <c r="AD56" i="1"/>
  <c r="AC56" i="1"/>
  <c r="AC73" i="1"/>
  <c r="AD73" i="1"/>
  <c r="AD27" i="1"/>
  <c r="AC27" i="1"/>
  <c r="AD44" i="1"/>
  <c r="AC44" i="1"/>
  <c r="AD31" i="1"/>
  <c r="AC31" i="1"/>
  <c r="AD48" i="1"/>
  <c r="AC48" i="1"/>
  <c r="AD35" i="1"/>
  <c r="AC35" i="1"/>
  <c r="AD52" i="1"/>
  <c r="AC52" i="1"/>
  <c r="AD40" i="1"/>
  <c r="AC40" i="1"/>
  <c r="AD57" i="1"/>
  <c r="AC57" i="1"/>
  <c r="AD28" i="1"/>
  <c r="AC28" i="1"/>
  <c r="AD32" i="1"/>
  <c r="AC32" i="1"/>
  <c r="AD36" i="1"/>
  <c r="AC36" i="1"/>
  <c r="AD41" i="1"/>
  <c r="AC41" i="1"/>
  <c r="AD29" i="1"/>
  <c r="AC29" i="1"/>
  <c r="AD33" i="1"/>
  <c r="AC33" i="1"/>
  <c r="AD37" i="1"/>
  <c r="AC37" i="1"/>
  <c r="O33" i="2"/>
  <c r="S33" i="2"/>
  <c r="Q25" i="2"/>
  <c r="T200" i="15"/>
  <c r="P5" i="2"/>
  <c r="R18" i="2"/>
  <c r="Q28" i="2"/>
  <c r="U8" i="2"/>
  <c r="P28" i="2"/>
  <c r="S8" i="2"/>
  <c r="O7" i="2"/>
  <c r="R20" i="2"/>
  <c r="U13" i="2"/>
  <c r="R19" i="2"/>
  <c r="H17" i="2"/>
  <c r="Q8" i="2"/>
  <c r="S4" i="2"/>
  <c r="H8" i="2"/>
  <c r="H16" i="2"/>
  <c r="P24" i="2"/>
  <c r="I9" i="2"/>
  <c r="P17" i="2"/>
  <c r="P25" i="2"/>
  <c r="U25" i="2"/>
  <c r="H33" i="2"/>
  <c r="V33" i="2"/>
  <c r="R32" i="2"/>
  <c r="R24" i="2"/>
  <c r="O8" i="2"/>
  <c r="Q9" i="2"/>
  <c r="I21" i="2"/>
  <c r="S25" i="2"/>
  <c r="P20" i="2"/>
  <c r="O20" i="2"/>
  <c r="P12" i="2"/>
  <c r="O17" i="2"/>
  <c r="V17" i="2"/>
  <c r="P13" i="2"/>
  <c r="T8" i="2"/>
  <c r="T20" i="2"/>
  <c r="U20" i="2"/>
  <c r="S24" i="2"/>
  <c r="R12" i="2"/>
  <c r="H20" i="2"/>
  <c r="T18" i="2"/>
  <c r="Q34" i="2"/>
  <c r="O27" i="2"/>
  <c r="P8" i="2"/>
  <c r="I8" i="2"/>
  <c r="R27" i="2"/>
  <c r="R31" i="2"/>
  <c r="Q20" i="2"/>
  <c r="I27" i="2"/>
  <c r="S20" i="2"/>
  <c r="R8" i="2"/>
  <c r="S7" i="2"/>
  <c r="R23" i="2"/>
  <c r="P27" i="2"/>
  <c r="Q30" i="2"/>
  <c r="S27" i="2"/>
  <c r="H11" i="2"/>
  <c r="O30" i="2"/>
  <c r="H256" i="15"/>
  <c r="P222" i="15"/>
  <c r="R22" i="2"/>
  <c r="P18" i="2"/>
  <c r="S26" i="2"/>
  <c r="U26" i="2"/>
  <c r="S11" i="2"/>
  <c r="O18" i="2"/>
  <c r="I22" i="2"/>
  <c r="O26" i="2"/>
  <c r="P6" i="2"/>
  <c r="P26" i="2"/>
  <c r="U18" i="2"/>
  <c r="P34" i="2"/>
  <c r="T26" i="2"/>
  <c r="O6" i="2"/>
  <c r="S18" i="2"/>
  <c r="U6" i="2"/>
  <c r="H18" i="2"/>
  <c r="Q18" i="2"/>
  <c r="I18" i="2"/>
  <c r="S6" i="2"/>
  <c r="R6" i="2"/>
  <c r="T6" i="2"/>
  <c r="R26" i="2"/>
  <c r="P14" i="2"/>
  <c r="CP48" i="2"/>
  <c r="I26" i="2"/>
  <c r="CP51" i="2"/>
  <c r="CP49" i="2"/>
  <c r="S34" i="2"/>
  <c r="S17" i="2"/>
  <c r="S13" i="2"/>
  <c r="O13" i="2"/>
  <c r="S12" i="2"/>
  <c r="S21" i="2"/>
  <c r="U33" i="2"/>
  <c r="H29" i="2"/>
  <c r="R28" i="2"/>
  <c r="H25" i="2"/>
  <c r="R21" i="2"/>
  <c r="T28" i="2"/>
  <c r="P21" i="2"/>
  <c r="S28" i="2"/>
  <c r="U27" i="2"/>
  <c r="O25" i="2"/>
  <c r="P177" i="15"/>
  <c r="P195" i="15"/>
  <c r="P186" i="15"/>
  <c r="P204" i="15"/>
  <c r="O31" i="2"/>
  <c r="H21" i="2"/>
  <c r="S32" i="2"/>
  <c r="U15" i="2"/>
  <c r="O15" i="2"/>
  <c r="U21" i="2"/>
  <c r="O32" i="2"/>
  <c r="U28" i="2"/>
  <c r="R15" i="2"/>
  <c r="P15" i="2"/>
  <c r="H28" i="2"/>
  <c r="V28" i="2"/>
  <c r="O21" i="2"/>
  <c r="T21" i="2"/>
  <c r="S23" i="2"/>
  <c r="U16" i="2"/>
  <c r="R16" i="2"/>
  <c r="S31" i="2"/>
  <c r="P35" i="2"/>
  <c r="I13" i="2"/>
  <c r="Q13" i="2"/>
  <c r="Q19" i="2"/>
  <c r="T33" i="2"/>
  <c r="H13" i="2"/>
  <c r="P30" i="2"/>
  <c r="I28" i="2"/>
  <c r="Q21" i="2"/>
  <c r="I20" i="2"/>
  <c r="I19" i="2"/>
  <c r="T27" i="2"/>
  <c r="I6" i="2"/>
  <c r="I25" i="2"/>
  <c r="Q6" i="2"/>
  <c r="R7" i="2"/>
  <c r="H27" i="2"/>
  <c r="S19" i="2"/>
  <c r="P7" i="2"/>
  <c r="Q33" i="2"/>
  <c r="P29" i="2"/>
  <c r="O29" i="2"/>
  <c r="R13" i="2"/>
  <c r="AD54" i="1"/>
  <c r="AC54" i="1"/>
  <c r="AC67" i="1"/>
  <c r="AD67" i="1"/>
  <c r="AD80" i="1"/>
  <c r="AC80" i="1"/>
  <c r="AC89" i="1"/>
  <c r="AD89" i="1"/>
  <c r="AD50" i="1"/>
  <c r="AC50" i="1"/>
  <c r="AC63" i="1"/>
  <c r="AD63" i="1"/>
  <c r="AD76" i="1"/>
  <c r="AC76" i="1"/>
  <c r="AC65" i="1"/>
  <c r="AD65" i="1"/>
  <c r="AD72" i="1"/>
  <c r="AC72" i="1"/>
  <c r="AD46" i="1"/>
  <c r="AC46" i="1"/>
  <c r="AC59" i="1"/>
  <c r="AD59" i="1"/>
  <c r="AC61" i="1"/>
  <c r="AD61" i="1"/>
  <c r="AC55" i="1"/>
  <c r="AD55" i="1"/>
  <c r="AD84" i="1"/>
  <c r="AC84" i="1"/>
  <c r="AD42" i="1"/>
  <c r="AC42" i="1"/>
  <c r="AC69" i="1"/>
  <c r="AD69" i="1"/>
  <c r="R25" i="2"/>
  <c r="T25" i="2"/>
  <c r="Q27" i="2"/>
  <c r="H6" i="2"/>
  <c r="U29" i="2"/>
  <c r="Q26" i="2"/>
  <c r="P31" i="2"/>
  <c r="S16" i="2"/>
  <c r="O34" i="2"/>
  <c r="H22" i="2"/>
  <c r="O22" i="2"/>
  <c r="T17" i="2"/>
  <c r="U11" i="2"/>
  <c r="P11" i="2"/>
  <c r="O23" i="2"/>
  <c r="O14" i="2"/>
  <c r="T14" i="2"/>
  <c r="U17" i="2"/>
  <c r="U4" i="2"/>
  <c r="U31" i="2"/>
  <c r="S15" i="2"/>
  <c r="O4" i="2"/>
  <c r="S22" i="2"/>
  <c r="I11" i="2"/>
  <c r="P32" i="2"/>
  <c r="U30" i="2"/>
  <c r="S30" i="2"/>
  <c r="O24" i="2"/>
  <c r="U24" i="2"/>
  <c r="H24" i="2"/>
  <c r="T24" i="2"/>
  <c r="I24" i="2"/>
  <c r="Q24" i="2"/>
  <c r="P22" i="2"/>
  <c r="P19" i="2"/>
  <c r="Q17" i="2"/>
  <c r="I17" i="2"/>
  <c r="P16" i="2"/>
  <c r="W16" i="2"/>
  <c r="Q16" i="2"/>
  <c r="O16" i="2"/>
  <c r="T16" i="2"/>
  <c r="U12" i="2"/>
  <c r="Q11" i="2"/>
  <c r="O11" i="2"/>
  <c r="R11" i="2"/>
  <c r="T11" i="2"/>
  <c r="O9" i="2"/>
  <c r="U5" i="2"/>
  <c r="H26" i="2"/>
  <c r="T12" i="2"/>
  <c r="H12" i="2"/>
  <c r="P4" i="2"/>
  <c r="R33" i="2"/>
  <c r="U32" i="2"/>
  <c r="T32" i="2"/>
  <c r="H32" i="2"/>
  <c r="P33" i="2"/>
  <c r="R4" i="2"/>
  <c r="I4" i="2"/>
  <c r="Q4" i="2"/>
  <c r="R30" i="2"/>
  <c r="I30" i="2"/>
  <c r="R14" i="2"/>
  <c r="I12" i="2"/>
  <c r="Q12" i="2"/>
  <c r="H4" i="2"/>
  <c r="T29" i="2"/>
  <c r="O5" i="2"/>
  <c r="U7" i="2"/>
  <c r="R5" i="2"/>
  <c r="I32" i="2"/>
  <c r="Q32" i="2"/>
  <c r="R29" i="2"/>
  <c r="I29" i="2"/>
  <c r="H30" i="2"/>
  <c r="T30" i="2"/>
  <c r="O12" i="2"/>
  <c r="I33" i="2"/>
  <c r="T4" i="2"/>
  <c r="S35" i="2"/>
  <c r="P23" i="2"/>
  <c r="T22" i="2"/>
  <c r="U22" i="2"/>
  <c r="Q22" i="2"/>
  <c r="O19" i="2"/>
  <c r="U14" i="2"/>
  <c r="I7" i="2"/>
  <c r="U9" i="2"/>
  <c r="S10" i="2"/>
  <c r="U10" i="2"/>
  <c r="H7" i="2"/>
  <c r="T7" i="2"/>
  <c r="S9" i="2"/>
  <c r="P9" i="2"/>
  <c r="T9" i="2"/>
  <c r="H9" i="2"/>
  <c r="R9" i="2"/>
  <c r="Q7" i="2"/>
  <c r="H15" i="2"/>
  <c r="T15" i="2"/>
  <c r="S14" i="2"/>
  <c r="H14" i="2"/>
  <c r="I15" i="2"/>
  <c r="Q14" i="2"/>
  <c r="I14" i="2"/>
  <c r="Q15" i="2"/>
  <c r="T19" i="2"/>
  <c r="H19" i="2"/>
  <c r="H23" i="2"/>
  <c r="T23" i="2"/>
  <c r="I23" i="2"/>
  <c r="Q23" i="2"/>
  <c r="U23" i="2"/>
  <c r="I31" i="2"/>
  <c r="Q31" i="2"/>
  <c r="T31" i="2"/>
  <c r="H31" i="2"/>
  <c r="I35" i="2"/>
  <c r="Q35" i="2"/>
  <c r="U34" i="2"/>
  <c r="I34" i="2"/>
  <c r="R34" i="2"/>
  <c r="T35" i="2"/>
  <c r="O35" i="2"/>
  <c r="U35" i="2"/>
  <c r="H35" i="2"/>
  <c r="H34" i="2"/>
  <c r="T34" i="2"/>
  <c r="R35" i="2"/>
  <c r="P10" i="2"/>
  <c r="Q10" i="2"/>
  <c r="R10" i="2"/>
  <c r="I10" i="2"/>
  <c r="T10" i="2"/>
  <c r="H10" i="2"/>
  <c r="O10" i="2"/>
  <c r="S5" i="2"/>
  <c r="H5" i="2"/>
  <c r="T5" i="2"/>
  <c r="I5" i="2"/>
  <c r="W5" i="2"/>
  <c r="Q5" i="2"/>
  <c r="W28" i="2"/>
  <c r="V16" i="2"/>
  <c r="V7" i="2"/>
  <c r="W9" i="2"/>
  <c r="W24" i="2"/>
  <c r="W25" i="2"/>
  <c r="V8" i="2"/>
  <c r="W17" i="2"/>
  <c r="V20" i="2"/>
  <c r="W21" i="2"/>
  <c r="W12" i="2"/>
  <c r="BC47" i="2"/>
  <c r="BC51" i="2"/>
  <c r="BC39" i="2"/>
  <c r="BC45" i="2"/>
  <c r="BC40" i="2"/>
  <c r="BC50" i="2"/>
  <c r="BC46" i="2"/>
  <c r="BC49" i="2"/>
  <c r="BC38" i="2"/>
  <c r="BC37" i="2"/>
  <c r="BC48" i="2"/>
  <c r="BC43" i="2"/>
  <c r="BC36" i="2"/>
  <c r="BC42" i="2"/>
  <c r="BC41" i="2"/>
  <c r="BC44" i="2"/>
  <c r="W20" i="2"/>
  <c r="W13" i="2"/>
  <c r="W26" i="2"/>
  <c r="W34" i="2"/>
  <c r="W14" i="2"/>
  <c r="V26" i="2"/>
  <c r="V27" i="2"/>
  <c r="W8" i="2"/>
  <c r="W27" i="2"/>
  <c r="V30" i="2"/>
  <c r="V11" i="2"/>
  <c r="W18" i="2"/>
  <c r="W22" i="2"/>
  <c r="V6" i="2"/>
  <c r="V18" i="2"/>
  <c r="W6" i="2"/>
  <c r="T283" i="15"/>
  <c r="N288" i="15"/>
  <c r="T223" i="15"/>
  <c r="N218" i="15"/>
  <c r="V13" i="2"/>
  <c r="V29" i="2"/>
  <c r="V25" i="2"/>
  <c r="V15" i="2"/>
  <c r="V31" i="2"/>
  <c r="V21" i="2"/>
  <c r="V32" i="2"/>
  <c r="W15" i="2"/>
  <c r="W35" i="2"/>
  <c r="W19" i="2"/>
  <c r="W29" i="2"/>
  <c r="V4" i="2"/>
  <c r="V14" i="2"/>
  <c r="N274" i="15"/>
  <c r="W30" i="2"/>
  <c r="W7" i="2"/>
  <c r="N265" i="15"/>
  <c r="T274" i="15"/>
  <c r="T265" i="15"/>
  <c r="AC71" i="1"/>
  <c r="AD71" i="1"/>
  <c r="AD88" i="1"/>
  <c r="AC88" i="1"/>
  <c r="AC105" i="1"/>
  <c r="AD105" i="1"/>
  <c r="AD100" i="1"/>
  <c r="AC100" i="1"/>
  <c r="AD62" i="1"/>
  <c r="AC62" i="1"/>
  <c r="AD66" i="1"/>
  <c r="AC66" i="1"/>
  <c r="AD70" i="1"/>
  <c r="AC70" i="1"/>
  <c r="AD58" i="1"/>
  <c r="AC58" i="1"/>
  <c r="AC75" i="1"/>
  <c r="AD75" i="1"/>
  <c r="AC79" i="1"/>
  <c r="AD79" i="1"/>
  <c r="AC83" i="1"/>
  <c r="AD83" i="1"/>
  <c r="AC85" i="1"/>
  <c r="AD85" i="1"/>
  <c r="AC77" i="1"/>
  <c r="AD77" i="1"/>
  <c r="AC81" i="1"/>
  <c r="AD81" i="1"/>
  <c r="AD92" i="1"/>
  <c r="AC92" i="1"/>
  <c r="AD96" i="1"/>
  <c r="AC96" i="1"/>
  <c r="V34" i="2"/>
  <c r="W32" i="2"/>
  <c r="W31" i="2"/>
  <c r="V22" i="2"/>
  <c r="W11" i="2"/>
  <c r="V23" i="2"/>
  <c r="V5" i="2"/>
  <c r="V9" i="2"/>
  <c r="V24" i="2"/>
  <c r="W23" i="2"/>
  <c r="W4" i="2"/>
  <c r="V12" i="2"/>
  <c r="W33" i="2"/>
  <c r="V35" i="2"/>
  <c r="V19" i="2"/>
  <c r="V10" i="2"/>
  <c r="W10" i="2"/>
  <c r="BB46" i="2"/>
  <c r="BB48" i="2"/>
  <c r="BB43" i="2"/>
  <c r="BB45" i="2"/>
  <c r="BB49" i="2"/>
  <c r="BB51" i="2"/>
  <c r="BB42" i="2"/>
  <c r="BB38" i="2"/>
  <c r="BB44" i="2"/>
  <c r="BB47" i="2"/>
  <c r="BB50" i="2"/>
  <c r="BB39" i="2"/>
  <c r="BB40" i="2"/>
  <c r="BB36" i="2"/>
  <c r="BB37" i="2"/>
  <c r="BB41" i="2"/>
  <c r="Y25" i="2"/>
  <c r="Y15" i="2"/>
  <c r="Y24" i="2"/>
  <c r="Y26" i="2"/>
  <c r="Z27" i="2"/>
  <c r="Y27" i="2"/>
  <c r="Y18" i="2"/>
  <c r="Z253" i="15"/>
  <c r="P287" i="15"/>
  <c r="Y12" i="2"/>
  <c r="Y19" i="2"/>
  <c r="Y14" i="2"/>
  <c r="Y13" i="2"/>
  <c r="Y17" i="2"/>
  <c r="Z16" i="2"/>
  <c r="Z13" i="2"/>
  <c r="Y16" i="2"/>
  <c r="Z29" i="2"/>
  <c r="Y4" i="2"/>
  <c r="AC93" i="1"/>
  <c r="AD93" i="1"/>
  <c r="AC97" i="1"/>
  <c r="AD97" i="1"/>
  <c r="AC95" i="1"/>
  <c r="AD95" i="1"/>
  <c r="AD86" i="1"/>
  <c r="AC86" i="1"/>
  <c r="AD78" i="1"/>
  <c r="AC78" i="1"/>
  <c r="AC87" i="1"/>
  <c r="AD87" i="1"/>
  <c r="AC99" i="1"/>
  <c r="AD99" i="1"/>
  <c r="AD74" i="1"/>
  <c r="AC74" i="1"/>
  <c r="AD104" i="1"/>
  <c r="AC104" i="1"/>
  <c r="AC101" i="1"/>
  <c r="AD101" i="1"/>
  <c r="AC91" i="1"/>
  <c r="AD91" i="1"/>
  <c r="AD82" i="1"/>
  <c r="AC82" i="1"/>
  <c r="Z30" i="2"/>
  <c r="Y32" i="2"/>
  <c r="Y30" i="2"/>
  <c r="Y31" i="2"/>
  <c r="Y29" i="2"/>
  <c r="Z28" i="2"/>
  <c r="Z31" i="2"/>
  <c r="Z20" i="2"/>
  <c r="Y28" i="2"/>
  <c r="Z22" i="2"/>
  <c r="Z21" i="2"/>
  <c r="Z15" i="2"/>
  <c r="Z14" i="2"/>
  <c r="Z12" i="2"/>
  <c r="Z10" i="2"/>
  <c r="Y7" i="2"/>
  <c r="Z26" i="2"/>
  <c r="Y6" i="2"/>
  <c r="Z24" i="2"/>
  <c r="Z7" i="2"/>
  <c r="Z23" i="2"/>
  <c r="Z6" i="2"/>
  <c r="Y35" i="2"/>
  <c r="Z25" i="2"/>
  <c r="Y23" i="2"/>
  <c r="Y22" i="2"/>
  <c r="Z33" i="2"/>
  <c r="Z34" i="2"/>
  <c r="Y33" i="2"/>
  <c r="Y21" i="2"/>
  <c r="Y20" i="2"/>
  <c r="Y5" i="2"/>
  <c r="Z5" i="2"/>
  <c r="Z4" i="2"/>
  <c r="Z8" i="2"/>
  <c r="Z32" i="2"/>
  <c r="Z35" i="2"/>
  <c r="Y34" i="2"/>
  <c r="Z19" i="2"/>
  <c r="Z17" i="2"/>
  <c r="Z18" i="2"/>
  <c r="Y9" i="2"/>
  <c r="Z11" i="2"/>
  <c r="Y10" i="2"/>
  <c r="Y11" i="2"/>
  <c r="Z9" i="2"/>
  <c r="Y8" i="2"/>
  <c r="AD90" i="1"/>
  <c r="AC90" i="1"/>
  <c r="AC103" i="1"/>
  <c r="AD103" i="1"/>
  <c r="AD98" i="1"/>
  <c r="AC98" i="1"/>
  <c r="AD94" i="1"/>
  <c r="AC94" i="1"/>
  <c r="AD102" i="1"/>
  <c r="AC102" i="1"/>
  <c r="AA30" i="2"/>
  <c r="AB31" i="2"/>
  <c r="AA31" i="2"/>
  <c r="AA28" i="2"/>
  <c r="AA29" i="2"/>
  <c r="AB28" i="2"/>
  <c r="AB29" i="2"/>
  <c r="AB30" i="2"/>
  <c r="AA13" i="2"/>
  <c r="AA15" i="2"/>
  <c r="AB13" i="2"/>
  <c r="AB14" i="2"/>
  <c r="AB15" i="2"/>
  <c r="AA20" i="2"/>
  <c r="AB12" i="2"/>
  <c r="AA14" i="2"/>
  <c r="AA12" i="2"/>
  <c r="AA24" i="2"/>
  <c r="AB25" i="2"/>
  <c r="AB27" i="2"/>
  <c r="AB21" i="2"/>
  <c r="AA6" i="2"/>
  <c r="AA23" i="2"/>
  <c r="AA26" i="2"/>
  <c r="AB20" i="2"/>
  <c r="AB24" i="2"/>
  <c r="AA27" i="2"/>
  <c r="AA25" i="2"/>
  <c r="AA21" i="2"/>
  <c r="AB26" i="2"/>
  <c r="AB22" i="2"/>
  <c r="AA22" i="2"/>
  <c r="AA7" i="2"/>
  <c r="AA33" i="2"/>
  <c r="AB35" i="2"/>
  <c r="AA34" i="2"/>
  <c r="AB23" i="2"/>
  <c r="AA17" i="2"/>
  <c r="AB7" i="2"/>
  <c r="AA4" i="2"/>
  <c r="AB5" i="2"/>
  <c r="AB6" i="2"/>
  <c r="AB4" i="2"/>
  <c r="AA5" i="2"/>
  <c r="AB33" i="2"/>
  <c r="AA32" i="2"/>
  <c r="AB34" i="2"/>
  <c r="AA35" i="2"/>
  <c r="AA18" i="2"/>
  <c r="AB18" i="2"/>
  <c r="AB32" i="2"/>
  <c r="AB19" i="2"/>
  <c r="AB17" i="2"/>
  <c r="AA16" i="2"/>
  <c r="AA19" i="2"/>
  <c r="AB16" i="2"/>
  <c r="AA10" i="2"/>
  <c r="AB8" i="2"/>
  <c r="AA11" i="2"/>
  <c r="AB11" i="2"/>
  <c r="AB9" i="2"/>
  <c r="AA8" i="2"/>
  <c r="AB10" i="2"/>
  <c r="AA9" i="2"/>
  <c r="A21" i="2"/>
  <c r="A24" i="2"/>
  <c r="A30" i="2"/>
  <c r="A28" i="2"/>
  <c r="A31" i="2"/>
  <c r="A29" i="2"/>
  <c r="A13" i="2"/>
  <c r="A14" i="2"/>
  <c r="A15" i="2"/>
  <c r="A12" i="2"/>
  <c r="A17" i="2"/>
  <c r="A33" i="2"/>
  <c r="A20" i="2"/>
  <c r="A23" i="2"/>
  <c r="A25" i="2"/>
  <c r="A34" i="2"/>
  <c r="A26" i="2"/>
  <c r="A27" i="2"/>
  <c r="A6" i="2"/>
  <c r="A32" i="2"/>
  <c r="A5" i="2"/>
  <c r="A10" i="2"/>
  <c r="A22" i="2"/>
  <c r="A7" i="2"/>
  <c r="A35" i="2"/>
  <c r="A18" i="2"/>
  <c r="A9" i="2"/>
  <c r="A4" i="2"/>
  <c r="A19" i="2"/>
  <c r="A16" i="2"/>
  <c r="A11" i="2"/>
  <c r="A8" i="2"/>
  <c r="AD32" i="2"/>
  <c r="AE32" i="2"/>
  <c r="AD28" i="2"/>
  <c r="BQ28" i="2"/>
  <c r="AD12" i="2"/>
  <c r="BQ12" i="2"/>
  <c r="AD20" i="2"/>
  <c r="AE20" i="2"/>
  <c r="AD25" i="2"/>
  <c r="BQ25" i="2"/>
  <c r="AD24" i="2"/>
  <c r="AD8" i="2"/>
  <c r="AE8" i="2"/>
  <c r="AD4" i="2"/>
  <c r="AE4" i="2"/>
  <c r="AD31" i="2"/>
  <c r="AE31" i="2"/>
  <c r="AD29" i="2"/>
  <c r="AE29" i="2"/>
  <c r="AD30" i="2"/>
  <c r="AE30" i="2"/>
  <c r="AD14" i="2"/>
  <c r="BQ14" i="2"/>
  <c r="AD35" i="2"/>
  <c r="BQ35" i="2"/>
  <c r="AD26" i="2"/>
  <c r="AE26" i="2"/>
  <c r="AD33" i="2"/>
  <c r="AE33" i="2"/>
  <c r="AD5" i="2"/>
  <c r="BQ5" i="2"/>
  <c r="AD22" i="2"/>
  <c r="BQ22" i="2"/>
  <c r="AD13" i="2"/>
  <c r="BQ13" i="2"/>
  <c r="AD15" i="2"/>
  <c r="AE15" i="2"/>
  <c r="AD7" i="2"/>
  <c r="AE7" i="2"/>
  <c r="AD21" i="2"/>
  <c r="AE21" i="2"/>
  <c r="AD23" i="2"/>
  <c r="BQ23" i="2"/>
  <c r="AD27" i="2"/>
  <c r="BQ27" i="2"/>
  <c r="AD34" i="2"/>
  <c r="AE34" i="2"/>
  <c r="AD6" i="2"/>
  <c r="AE6" i="2"/>
  <c r="AD19" i="2"/>
  <c r="BQ19" i="2"/>
  <c r="AD16" i="2"/>
  <c r="AD17" i="2"/>
  <c r="AD18" i="2"/>
  <c r="AD11" i="2"/>
  <c r="BQ11" i="2"/>
  <c r="AD10" i="2"/>
  <c r="BQ10" i="2"/>
  <c r="AD9" i="2"/>
  <c r="AE9" i="2"/>
  <c r="AF34" i="2"/>
  <c r="BB34" i="2"/>
  <c r="AF30" i="2"/>
  <c r="BB30" i="2"/>
  <c r="AF20" i="2"/>
  <c r="BD20" i="2"/>
  <c r="AF33" i="2"/>
  <c r="DD33" i="2"/>
  <c r="AF8" i="2"/>
  <c r="AF32" i="2"/>
  <c r="BP32" i="2"/>
  <c r="AF31" i="2"/>
  <c r="BP31" i="2"/>
  <c r="AE28" i="2"/>
  <c r="BQ32" i="2"/>
  <c r="AE12" i="2"/>
  <c r="AE25" i="2"/>
  <c r="AF26" i="2"/>
  <c r="BQ8" i="2"/>
  <c r="BQ20" i="2"/>
  <c r="AE24" i="2"/>
  <c r="BQ24" i="2"/>
  <c r="BQ4" i="2"/>
  <c r="BQ29" i="2"/>
  <c r="BQ30" i="2"/>
  <c r="BQ31" i="2"/>
  <c r="AE35" i="2"/>
  <c r="AF35" i="2"/>
  <c r="BQ33" i="2"/>
  <c r="AE5" i="2"/>
  <c r="AF6" i="2"/>
  <c r="BQ26" i="2"/>
  <c r="BR26" i="2"/>
  <c r="BR27" i="2"/>
  <c r="AE14" i="2"/>
  <c r="BQ34" i="2"/>
  <c r="AE22" i="2"/>
  <c r="AF21" i="2"/>
  <c r="BQ21" i="2"/>
  <c r="BR22" i="2"/>
  <c r="BR23" i="2"/>
  <c r="AE13" i="2"/>
  <c r="BQ15" i="2"/>
  <c r="BR14" i="2"/>
  <c r="BR15" i="2"/>
  <c r="AE27" i="2"/>
  <c r="BQ7" i="2"/>
  <c r="AE23" i="2"/>
  <c r="BQ6" i="2"/>
  <c r="AE19" i="2"/>
  <c r="AE11" i="2"/>
  <c r="AE10" i="2"/>
  <c r="BQ17" i="2"/>
  <c r="AE17" i="2"/>
  <c r="AE16" i="2"/>
  <c r="BQ16" i="2"/>
  <c r="AE18" i="2"/>
  <c r="BQ18" i="2"/>
  <c r="BQ9" i="2"/>
  <c r="BR10" i="2"/>
  <c r="BR11" i="2"/>
  <c r="AF27" i="2"/>
  <c r="BP34" i="2"/>
  <c r="AF24" i="2"/>
  <c r="BB24" i="2"/>
  <c r="BD34" i="2"/>
  <c r="BC34" i="2"/>
  <c r="BP20" i="2"/>
  <c r="BR34" i="2"/>
  <c r="BR35" i="2"/>
  <c r="BC30" i="2"/>
  <c r="AF18" i="2"/>
  <c r="BC18" i="2"/>
  <c r="AF11" i="2"/>
  <c r="BB11" i="2"/>
  <c r="AF14" i="2"/>
  <c r="BB14" i="2"/>
  <c r="BC20" i="2"/>
  <c r="AF23" i="2"/>
  <c r="BD23" i="2"/>
  <c r="BD30" i="2"/>
  <c r="BB20" i="2"/>
  <c r="AF16" i="2"/>
  <c r="BC16" i="2"/>
  <c r="BR30" i="2"/>
  <c r="BR31" i="2"/>
  <c r="BD21" i="2"/>
  <c r="BC21" i="2"/>
  <c r="BB21" i="2"/>
  <c r="BB18" i="2"/>
  <c r="BB26" i="2"/>
  <c r="BD26" i="2"/>
  <c r="BC26" i="2"/>
  <c r="AF10" i="2"/>
  <c r="BP10" i="2"/>
  <c r="AF13" i="2"/>
  <c r="BP13" i="2"/>
  <c r="BB6" i="2"/>
  <c r="BD6" i="2"/>
  <c r="BC6" i="2"/>
  <c r="AF15" i="2"/>
  <c r="BD24" i="2"/>
  <c r="BC24" i="2"/>
  <c r="BP26" i="2"/>
  <c r="AF25" i="2"/>
  <c r="AF28" i="2"/>
  <c r="BP28" i="2"/>
  <c r="BD32" i="2"/>
  <c r="BB32" i="2"/>
  <c r="BC32" i="2"/>
  <c r="BR18" i="2"/>
  <c r="BR19" i="2"/>
  <c r="AF17" i="2"/>
  <c r="AF19" i="2"/>
  <c r="BB27" i="2"/>
  <c r="BD27" i="2"/>
  <c r="BC27" i="2"/>
  <c r="AF22" i="2"/>
  <c r="DD22" i="2"/>
  <c r="BB35" i="2"/>
  <c r="BD35" i="2"/>
  <c r="BC35" i="2"/>
  <c r="AF12" i="2"/>
  <c r="BB31" i="2"/>
  <c r="BD31" i="2"/>
  <c r="BC31" i="2"/>
  <c r="AF29" i="2"/>
  <c r="BD8" i="2"/>
  <c r="BB8" i="2"/>
  <c r="BC8" i="2"/>
  <c r="BD33" i="2"/>
  <c r="BC33" i="2"/>
  <c r="BB33" i="2"/>
  <c r="AF9" i="2"/>
  <c r="DD32" i="2"/>
  <c r="DD20" i="2"/>
  <c r="DD31" i="2"/>
  <c r="DD30" i="2"/>
  <c r="BP30" i="2"/>
  <c r="AF4" i="2"/>
  <c r="AF7" i="2"/>
  <c r="AF5" i="2"/>
  <c r="DD26" i="2"/>
  <c r="DD34" i="2"/>
  <c r="BP35" i="2"/>
  <c r="BP33" i="2"/>
  <c r="DB26" i="2"/>
  <c r="DB14" i="2"/>
  <c r="BP21" i="2"/>
  <c r="DB23" i="2"/>
  <c r="DB22" i="2"/>
  <c r="DD6" i="2"/>
  <c r="BR6" i="2"/>
  <c r="DD35" i="2"/>
  <c r="BP6" i="2"/>
  <c r="BP8" i="2"/>
  <c r="DD8" i="2"/>
  <c r="DB10" i="2"/>
  <c r="DE32" i="2"/>
  <c r="DE8" i="2"/>
  <c r="DE20" i="2"/>
  <c r="BB16" i="2"/>
  <c r="DE34" i="2"/>
  <c r="BD14" i="2"/>
  <c r="BP14" i="2"/>
  <c r="BC14" i="2"/>
  <c r="DE35" i="2"/>
  <c r="DE33" i="2"/>
  <c r="BB23" i="2"/>
  <c r="BC23" i="2"/>
  <c r="BD18" i="2"/>
  <c r="BC11" i="2"/>
  <c r="BD11" i="2"/>
  <c r="BD16" i="2"/>
  <c r="BD17" i="2"/>
  <c r="BC17" i="2"/>
  <c r="BB17" i="2"/>
  <c r="DD28" i="2"/>
  <c r="BB15" i="2"/>
  <c r="BD15" i="2"/>
  <c r="BC15" i="2"/>
  <c r="BD13" i="2"/>
  <c r="BC13" i="2"/>
  <c r="BB13" i="2"/>
  <c r="BB10" i="2"/>
  <c r="BD10" i="2"/>
  <c r="BC10" i="2"/>
  <c r="BD4" i="2"/>
  <c r="BB4" i="2"/>
  <c r="BC4" i="2"/>
  <c r="BK147" i="2"/>
  <c r="BK143" i="2"/>
  <c r="BK139" i="2"/>
  <c r="BK135" i="2"/>
  <c r="BK131" i="2"/>
  <c r="BK127" i="2"/>
  <c r="BK123" i="2"/>
  <c r="BK119" i="2"/>
  <c r="BK115" i="2"/>
  <c r="BK111" i="2"/>
  <c r="BK107" i="2"/>
  <c r="BK103" i="2"/>
  <c r="BK99" i="2"/>
  <c r="BK95" i="2"/>
  <c r="BK91" i="2"/>
  <c r="BK87" i="2"/>
  <c r="BK83" i="2"/>
  <c r="BK79" i="2"/>
  <c r="BK75" i="2"/>
  <c r="BK71" i="2"/>
  <c r="BK67" i="2"/>
  <c r="BK60" i="2"/>
  <c r="BK56" i="2"/>
  <c r="BK52" i="2"/>
  <c r="BK48" i="2"/>
  <c r="BK44" i="2"/>
  <c r="BK40" i="2"/>
  <c r="BK36" i="2"/>
  <c r="BK146" i="2"/>
  <c r="BK142" i="2"/>
  <c r="BK138" i="2"/>
  <c r="BK134" i="2"/>
  <c r="BK130" i="2"/>
  <c r="BK126" i="2"/>
  <c r="BK122" i="2"/>
  <c r="BK118" i="2"/>
  <c r="BK114" i="2"/>
  <c r="BK110" i="2"/>
  <c r="BK106" i="2"/>
  <c r="BK102" i="2"/>
  <c r="BK98" i="2"/>
  <c r="BK94" i="2"/>
  <c r="BK90" i="2"/>
  <c r="BK86" i="2"/>
  <c r="BK82" i="2"/>
  <c r="BK78" i="2"/>
  <c r="BK74" i="2"/>
  <c r="BK70" i="2"/>
  <c r="BK66" i="2"/>
  <c r="BK63" i="2"/>
  <c r="BK59" i="2"/>
  <c r="BK55" i="2"/>
  <c r="BK51" i="2"/>
  <c r="BK47" i="2"/>
  <c r="BK43" i="2"/>
  <c r="BK39" i="2"/>
  <c r="BK145" i="2"/>
  <c r="BK141" i="2"/>
  <c r="BK137" i="2"/>
  <c r="BK133" i="2"/>
  <c r="BK129" i="2"/>
  <c r="BK125" i="2"/>
  <c r="BK121" i="2"/>
  <c r="BK117" i="2"/>
  <c r="BK113" i="2"/>
  <c r="BK109" i="2"/>
  <c r="BK105" i="2"/>
  <c r="BK101" i="2"/>
  <c r="BK97" i="2"/>
  <c r="BK93" i="2"/>
  <c r="BK89" i="2"/>
  <c r="BK85" i="2"/>
  <c r="BK81" i="2"/>
  <c r="BK77" i="2"/>
  <c r="BK73" i="2"/>
  <c r="BK69" i="2"/>
  <c r="BK65" i="2"/>
  <c r="BK62" i="2"/>
  <c r="BK58" i="2"/>
  <c r="BK54" i="2"/>
  <c r="BK50" i="2"/>
  <c r="BK46" i="2"/>
  <c r="BK42" i="2"/>
  <c r="BK38" i="2"/>
  <c r="BK144" i="2"/>
  <c r="BK140" i="2"/>
  <c r="BK136" i="2"/>
  <c r="BK132" i="2"/>
  <c r="BK128" i="2"/>
  <c r="BK124" i="2"/>
  <c r="BK120" i="2"/>
  <c r="BK116" i="2"/>
  <c r="BK112" i="2"/>
  <c r="BK108" i="2"/>
  <c r="BK104" i="2"/>
  <c r="BK100" i="2"/>
  <c r="BK96" i="2"/>
  <c r="BK92" i="2"/>
  <c r="BK88" i="2"/>
  <c r="BK84" i="2"/>
  <c r="BK80" i="2"/>
  <c r="BK76" i="2"/>
  <c r="BK72" i="2"/>
  <c r="BK68" i="2"/>
  <c r="BK64" i="2"/>
  <c r="BK61" i="2"/>
  <c r="BK57" i="2"/>
  <c r="BK53" i="2"/>
  <c r="BK49" i="2"/>
  <c r="BK45" i="2"/>
  <c r="BK41" i="2"/>
  <c r="BK37" i="2"/>
  <c r="BD5" i="2"/>
  <c r="BC5" i="2"/>
  <c r="BB5" i="2"/>
  <c r="BD29" i="2"/>
  <c r="BC29" i="2"/>
  <c r="BB29" i="2"/>
  <c r="BD12" i="2"/>
  <c r="BB12" i="2"/>
  <c r="BC12" i="2"/>
  <c r="BB22" i="2"/>
  <c r="BD22" i="2"/>
  <c r="BC22" i="2"/>
  <c r="BD25" i="2"/>
  <c r="BC25" i="2"/>
  <c r="BB25" i="2"/>
  <c r="DD10" i="2"/>
  <c r="BD28" i="2"/>
  <c r="BB28" i="2"/>
  <c r="BC28" i="2"/>
  <c r="BB7" i="2"/>
  <c r="BD7" i="2"/>
  <c r="BC7" i="2"/>
  <c r="BD9" i="2"/>
  <c r="BC9" i="2"/>
  <c r="BB9" i="2"/>
  <c r="BP22" i="2"/>
  <c r="BB19" i="2"/>
  <c r="BD19" i="2"/>
  <c r="BC19" i="2"/>
  <c r="DD4" i="2"/>
  <c r="DE4" i="2"/>
  <c r="DB34" i="2"/>
  <c r="BP25" i="2"/>
  <c r="DD25" i="2"/>
  <c r="DD29" i="2"/>
  <c r="BP12" i="2"/>
  <c r="DD12" i="2"/>
  <c r="BP29" i="2"/>
  <c r="BP24" i="2"/>
  <c r="DD24" i="2"/>
  <c r="BP27" i="2"/>
  <c r="DD27" i="2"/>
  <c r="DB30" i="2"/>
  <c r="BP5" i="2"/>
  <c r="DD5" i="2"/>
  <c r="DD15" i="2"/>
  <c r="BP15" i="2"/>
  <c r="BP4" i="2"/>
  <c r="DD7" i="2"/>
  <c r="BP7" i="2"/>
  <c r="DB15" i="2"/>
  <c r="DD13" i="2"/>
  <c r="DD23" i="2"/>
  <c r="BP23" i="2"/>
  <c r="DD14" i="2"/>
  <c r="DD21" i="2"/>
  <c r="BR7" i="2"/>
  <c r="CW144" i="2"/>
  <c r="DB6" i="2"/>
  <c r="DB27" i="2"/>
  <c r="BP9" i="2"/>
  <c r="BP11" i="2"/>
  <c r="DD9" i="2"/>
  <c r="DD11" i="2"/>
  <c r="BK12" i="2"/>
  <c r="BK10" i="2"/>
  <c r="BN10" i="2"/>
  <c r="DD19" i="2"/>
  <c r="BK24" i="2"/>
  <c r="BL24" i="2"/>
  <c r="BK11" i="2"/>
  <c r="BN11" i="2"/>
  <c r="DB18" i="2"/>
  <c r="BK4" i="2"/>
  <c r="BP19" i="2"/>
  <c r="BK13" i="2"/>
  <c r="BK28" i="2"/>
  <c r="BN28" i="2"/>
  <c r="BK7" i="2"/>
  <c r="BK29" i="2"/>
  <c r="BM29" i="2"/>
  <c r="BK6" i="2"/>
  <c r="BK15" i="2"/>
  <c r="BL15" i="2"/>
  <c r="BK18" i="2"/>
  <c r="BN18" i="2"/>
  <c r="BP17" i="2"/>
  <c r="BK17" i="2"/>
  <c r="BK35" i="2"/>
  <c r="BK25" i="2"/>
  <c r="DD17" i="2"/>
  <c r="BK22" i="2"/>
  <c r="BK21" i="2"/>
  <c r="BM21" i="2"/>
  <c r="BK26" i="2"/>
  <c r="BL26" i="2"/>
  <c r="BK14" i="2"/>
  <c r="BM14" i="2"/>
  <c r="BK5" i="2"/>
  <c r="BK23" i="2"/>
  <c r="BM23" i="2"/>
  <c r="DD18" i="2"/>
  <c r="BP18" i="2"/>
  <c r="DD16" i="2"/>
  <c r="BP16" i="2"/>
  <c r="BK32" i="2"/>
  <c r="BN32" i="2"/>
  <c r="BK16" i="2"/>
  <c r="BM16" i="2"/>
  <c r="BK20" i="2"/>
  <c r="BK27" i="2"/>
  <c r="BL27" i="2"/>
  <c r="BK8" i="2"/>
  <c r="BN8" i="2"/>
  <c r="BK31" i="2"/>
  <c r="BM31" i="2"/>
  <c r="BK30" i="2"/>
  <c r="BK34" i="2"/>
  <c r="BN34" i="2"/>
  <c r="BK19" i="2"/>
  <c r="BK33" i="2"/>
  <c r="BM33" i="2"/>
  <c r="BK9" i="2"/>
  <c r="DB11" i="2"/>
  <c r="DE12" i="2"/>
  <c r="DE28" i="2"/>
  <c r="DE16" i="2"/>
  <c r="DE21" i="2"/>
  <c r="DE24" i="2"/>
  <c r="DE9" i="2"/>
  <c r="DE29" i="2"/>
  <c r="DE18" i="2"/>
  <c r="DE15" i="2"/>
  <c r="DE13" i="2"/>
  <c r="DE27" i="2"/>
  <c r="DE25" i="2"/>
  <c r="DE23" i="2"/>
  <c r="DE30" i="2"/>
  <c r="DE22" i="2"/>
  <c r="DE19" i="2"/>
  <c r="DE17" i="2"/>
  <c r="DE14" i="2"/>
  <c r="DE26" i="2"/>
  <c r="DE31" i="2"/>
  <c r="CY144" i="2"/>
  <c r="CX144" i="2"/>
  <c r="CZ144" i="2"/>
  <c r="BN37" i="2"/>
  <c r="BM37" i="2"/>
  <c r="BL37" i="2"/>
  <c r="BM68" i="2"/>
  <c r="BL68" i="2"/>
  <c r="BN68" i="2"/>
  <c r="BM100" i="2"/>
  <c r="BL100" i="2"/>
  <c r="BN100" i="2"/>
  <c r="BM132" i="2"/>
  <c r="BL132" i="2"/>
  <c r="BN132" i="2"/>
  <c r="BN54" i="2"/>
  <c r="BL54" i="2"/>
  <c r="BM54" i="2"/>
  <c r="BN85" i="2"/>
  <c r="BM85" i="2"/>
  <c r="BL85" i="2"/>
  <c r="BN101" i="2"/>
  <c r="BM101" i="2"/>
  <c r="BL101" i="2"/>
  <c r="BN117" i="2"/>
  <c r="BM117" i="2"/>
  <c r="BL117" i="2"/>
  <c r="BN133" i="2"/>
  <c r="BM133" i="2"/>
  <c r="BL133" i="2"/>
  <c r="BN39" i="2"/>
  <c r="BM39" i="2"/>
  <c r="BL39" i="2"/>
  <c r="BN55" i="2"/>
  <c r="BL55" i="2"/>
  <c r="BM55" i="2"/>
  <c r="BM70" i="2"/>
  <c r="BL70" i="2"/>
  <c r="BN70" i="2"/>
  <c r="BM86" i="2"/>
  <c r="BL86" i="2"/>
  <c r="BN86" i="2"/>
  <c r="BM102" i="2"/>
  <c r="BL102" i="2"/>
  <c r="BN102" i="2"/>
  <c r="BM118" i="2"/>
  <c r="BL118" i="2"/>
  <c r="BN118" i="2"/>
  <c r="BM134" i="2"/>
  <c r="BL134" i="2"/>
  <c r="BN134" i="2"/>
  <c r="BN36" i="2"/>
  <c r="BL36" i="2"/>
  <c r="BM36" i="2"/>
  <c r="BN52" i="2"/>
  <c r="BL52" i="2"/>
  <c r="BM52" i="2"/>
  <c r="BL71" i="2"/>
  <c r="BN71" i="2"/>
  <c r="BM71" i="2"/>
  <c r="BL87" i="2"/>
  <c r="BN87" i="2"/>
  <c r="BM87" i="2"/>
  <c r="BL103" i="2"/>
  <c r="BN103" i="2"/>
  <c r="BM103" i="2"/>
  <c r="BL119" i="2"/>
  <c r="BN119" i="2"/>
  <c r="BM119" i="2"/>
  <c r="BL135" i="2"/>
  <c r="BN135" i="2"/>
  <c r="BM135" i="2"/>
  <c r="CW36" i="2"/>
  <c r="CW52" i="2"/>
  <c r="CW67" i="2"/>
  <c r="CW84" i="2"/>
  <c r="CW37" i="2"/>
  <c r="CW53" i="2"/>
  <c r="CW71" i="2"/>
  <c r="CW85" i="2"/>
  <c r="CW38" i="2"/>
  <c r="CW54" i="2"/>
  <c r="CW72" i="2"/>
  <c r="CW86" i="2"/>
  <c r="CW39" i="2"/>
  <c r="CW55" i="2"/>
  <c r="CW69" i="2"/>
  <c r="CW87" i="2"/>
  <c r="CW101" i="2"/>
  <c r="CW117" i="2"/>
  <c r="CW133" i="2"/>
  <c r="CW102" i="2"/>
  <c r="CW118" i="2"/>
  <c r="CW134" i="2"/>
  <c r="CW103" i="2"/>
  <c r="CW119" i="2"/>
  <c r="CW135" i="2"/>
  <c r="CW100" i="2"/>
  <c r="CW116" i="2"/>
  <c r="CW132" i="2"/>
  <c r="BN53" i="2"/>
  <c r="BL53" i="2"/>
  <c r="BM53" i="2"/>
  <c r="BM84" i="2"/>
  <c r="BL84" i="2"/>
  <c r="BN84" i="2"/>
  <c r="BM116" i="2"/>
  <c r="BL116" i="2"/>
  <c r="BN116" i="2"/>
  <c r="BN38" i="2"/>
  <c r="BL38" i="2"/>
  <c r="BM38" i="2"/>
  <c r="BN69" i="2"/>
  <c r="BM69" i="2"/>
  <c r="BL69" i="2"/>
  <c r="BN41" i="2"/>
  <c r="BM41" i="2"/>
  <c r="BL41" i="2"/>
  <c r="BN57" i="2"/>
  <c r="BL57" i="2"/>
  <c r="BM57" i="2"/>
  <c r="BL72" i="2"/>
  <c r="BN72" i="2"/>
  <c r="BM72" i="2"/>
  <c r="BL88" i="2"/>
  <c r="BN88" i="2"/>
  <c r="BM88" i="2"/>
  <c r="BL104" i="2"/>
  <c r="BN104" i="2"/>
  <c r="BM104" i="2"/>
  <c r="BL120" i="2"/>
  <c r="BN120" i="2"/>
  <c r="BM120" i="2"/>
  <c r="BL136" i="2"/>
  <c r="BN136" i="2"/>
  <c r="BM136" i="2"/>
  <c r="BN42" i="2"/>
  <c r="BL42" i="2"/>
  <c r="BM42" i="2"/>
  <c r="BN58" i="2"/>
  <c r="BL58" i="2"/>
  <c r="BM58" i="2"/>
  <c r="BN73" i="2"/>
  <c r="BM73" i="2"/>
  <c r="BL73" i="2"/>
  <c r="BN89" i="2"/>
  <c r="BM89" i="2"/>
  <c r="BL89" i="2"/>
  <c r="BN105" i="2"/>
  <c r="BM105" i="2"/>
  <c r="BL105" i="2"/>
  <c r="BN121" i="2"/>
  <c r="BM121" i="2"/>
  <c r="BL121" i="2"/>
  <c r="BN137" i="2"/>
  <c r="BM137" i="2"/>
  <c r="BL137" i="2"/>
  <c r="BN43" i="2"/>
  <c r="BL43" i="2"/>
  <c r="BM43" i="2"/>
  <c r="BN59" i="2"/>
  <c r="BL59" i="2"/>
  <c r="BM59" i="2"/>
  <c r="BL74" i="2"/>
  <c r="BN74" i="2"/>
  <c r="BM74" i="2"/>
  <c r="BL90" i="2"/>
  <c r="BN90" i="2"/>
  <c r="BM90" i="2"/>
  <c r="BL106" i="2"/>
  <c r="BN106" i="2"/>
  <c r="BM106" i="2"/>
  <c r="BL122" i="2"/>
  <c r="BN122" i="2"/>
  <c r="BM122" i="2"/>
  <c r="BL138" i="2"/>
  <c r="BN138" i="2"/>
  <c r="BM138" i="2"/>
  <c r="BN40" i="2"/>
  <c r="BL40" i="2"/>
  <c r="BM40" i="2"/>
  <c r="BN56" i="2"/>
  <c r="BL56" i="2"/>
  <c r="BM56" i="2"/>
  <c r="BN75" i="2"/>
  <c r="BM75" i="2"/>
  <c r="BL75" i="2"/>
  <c r="BN91" i="2"/>
  <c r="BM91" i="2"/>
  <c r="BL91" i="2"/>
  <c r="BN107" i="2"/>
  <c r="BM107" i="2"/>
  <c r="BL107" i="2"/>
  <c r="BN123" i="2"/>
  <c r="BM123" i="2"/>
  <c r="BL123" i="2"/>
  <c r="BN139" i="2"/>
  <c r="BL139" i="2"/>
  <c r="BM139" i="2"/>
  <c r="CW40" i="2"/>
  <c r="CW56" i="2"/>
  <c r="CW70" i="2"/>
  <c r="CW88" i="2"/>
  <c r="CW41" i="2"/>
  <c r="CW57" i="2"/>
  <c r="CW74" i="2"/>
  <c r="CW89" i="2"/>
  <c r="CW42" i="2"/>
  <c r="CW58" i="2"/>
  <c r="CW75" i="2"/>
  <c r="CW90" i="2"/>
  <c r="CW43" i="2"/>
  <c r="CW59" i="2"/>
  <c r="CW76" i="2"/>
  <c r="CW91" i="2"/>
  <c r="CW105" i="2"/>
  <c r="CW121" i="2"/>
  <c r="CW137" i="2"/>
  <c r="CW106" i="2"/>
  <c r="CW122" i="2"/>
  <c r="CW138" i="2"/>
  <c r="CW107" i="2"/>
  <c r="CW123" i="2"/>
  <c r="CW139" i="2"/>
  <c r="CW104" i="2"/>
  <c r="CW120" i="2"/>
  <c r="CW136" i="2"/>
  <c r="BN45" i="2"/>
  <c r="BM45" i="2"/>
  <c r="BL45" i="2"/>
  <c r="BN61" i="2"/>
  <c r="BL61" i="2"/>
  <c r="BM61" i="2"/>
  <c r="BN76" i="2"/>
  <c r="BM76" i="2"/>
  <c r="BL76" i="2"/>
  <c r="BN92" i="2"/>
  <c r="BM92" i="2"/>
  <c r="BL92" i="2"/>
  <c r="BN108" i="2"/>
  <c r="BM108" i="2"/>
  <c r="BL108" i="2"/>
  <c r="BN124" i="2"/>
  <c r="BM124" i="2"/>
  <c r="BL124" i="2"/>
  <c r="BN140" i="2"/>
  <c r="BM140" i="2"/>
  <c r="BL140" i="2"/>
  <c r="BN46" i="2"/>
  <c r="BM46" i="2"/>
  <c r="BL46" i="2"/>
  <c r="BN62" i="2"/>
  <c r="BM62" i="2"/>
  <c r="BL62" i="2"/>
  <c r="BM77" i="2"/>
  <c r="BL77" i="2"/>
  <c r="BN77" i="2"/>
  <c r="BM93" i="2"/>
  <c r="BL93" i="2"/>
  <c r="BN93" i="2"/>
  <c r="BM109" i="2"/>
  <c r="BL109" i="2"/>
  <c r="BN109" i="2"/>
  <c r="BM125" i="2"/>
  <c r="BL125" i="2"/>
  <c r="BN125" i="2"/>
  <c r="BM141" i="2"/>
  <c r="BL141" i="2"/>
  <c r="BN141" i="2"/>
  <c r="BN47" i="2"/>
  <c r="BL47" i="2"/>
  <c r="BM47" i="2"/>
  <c r="BM63" i="2"/>
  <c r="BL63" i="2"/>
  <c r="BN63" i="2"/>
  <c r="BN78" i="2"/>
  <c r="BM78" i="2"/>
  <c r="BL78" i="2"/>
  <c r="BN94" i="2"/>
  <c r="BM94" i="2"/>
  <c r="BL94" i="2"/>
  <c r="BN110" i="2"/>
  <c r="BM110" i="2"/>
  <c r="BL110" i="2"/>
  <c r="BN126" i="2"/>
  <c r="BM126" i="2"/>
  <c r="BL126" i="2"/>
  <c r="BN142" i="2"/>
  <c r="BM142" i="2"/>
  <c r="BL142" i="2"/>
  <c r="BN44" i="2"/>
  <c r="BL44" i="2"/>
  <c r="BM44" i="2"/>
  <c r="BN60" i="2"/>
  <c r="BL60" i="2"/>
  <c r="BM60" i="2"/>
  <c r="BN79" i="2"/>
  <c r="BM79" i="2"/>
  <c r="BL79" i="2"/>
  <c r="BN95" i="2"/>
  <c r="BM95" i="2"/>
  <c r="BL95" i="2"/>
  <c r="BN111" i="2"/>
  <c r="BM111" i="2"/>
  <c r="BL111" i="2"/>
  <c r="BN127" i="2"/>
  <c r="BM127" i="2"/>
  <c r="BL127" i="2"/>
  <c r="BN143" i="2"/>
  <c r="BM143" i="2"/>
  <c r="BL143" i="2"/>
  <c r="CW44" i="2"/>
  <c r="CW60" i="2"/>
  <c r="CW73" i="2"/>
  <c r="CW92" i="2"/>
  <c r="CW45" i="2"/>
  <c r="CW61" i="2"/>
  <c r="CW77" i="2"/>
  <c r="CW93" i="2"/>
  <c r="CW46" i="2"/>
  <c r="CW62" i="2"/>
  <c r="CW78" i="2"/>
  <c r="CW94" i="2"/>
  <c r="CW47" i="2"/>
  <c r="CW63" i="2"/>
  <c r="CW79" i="2"/>
  <c r="CW95" i="2"/>
  <c r="CW109" i="2"/>
  <c r="CW125" i="2"/>
  <c r="CW141" i="2"/>
  <c r="CW110" i="2"/>
  <c r="CW126" i="2"/>
  <c r="CW142" i="2"/>
  <c r="CW111" i="2"/>
  <c r="CW127" i="2"/>
  <c r="CW143" i="2"/>
  <c r="CW108" i="2"/>
  <c r="CW124" i="2"/>
  <c r="CW140" i="2"/>
  <c r="BN49" i="2"/>
  <c r="BL49" i="2"/>
  <c r="BM49" i="2"/>
  <c r="BN64" i="2"/>
  <c r="BM64" i="2"/>
  <c r="BL64" i="2"/>
  <c r="BN80" i="2"/>
  <c r="BM80" i="2"/>
  <c r="BL80" i="2"/>
  <c r="BN96" i="2"/>
  <c r="BM96" i="2"/>
  <c r="BL96" i="2"/>
  <c r="BN112" i="2"/>
  <c r="BM112" i="2"/>
  <c r="BL112" i="2"/>
  <c r="BN128" i="2"/>
  <c r="BM128" i="2"/>
  <c r="BL128" i="2"/>
  <c r="BN144" i="2"/>
  <c r="BM144" i="2"/>
  <c r="BL144" i="2"/>
  <c r="BN50" i="2"/>
  <c r="BL50" i="2"/>
  <c r="BM50" i="2"/>
  <c r="BM65" i="2"/>
  <c r="BN65" i="2"/>
  <c r="BL65" i="2"/>
  <c r="BL81" i="2"/>
  <c r="BN81" i="2"/>
  <c r="BM81" i="2"/>
  <c r="BL97" i="2"/>
  <c r="BN97" i="2"/>
  <c r="BM97" i="2"/>
  <c r="BL113" i="2"/>
  <c r="BN113" i="2"/>
  <c r="BM113" i="2"/>
  <c r="BL129" i="2"/>
  <c r="BN129" i="2"/>
  <c r="BM129" i="2"/>
  <c r="BL145" i="2"/>
  <c r="BN145" i="2"/>
  <c r="BM145" i="2"/>
  <c r="BN51" i="2"/>
  <c r="BL51" i="2"/>
  <c r="BM51" i="2"/>
  <c r="BL66" i="2"/>
  <c r="BM66" i="2"/>
  <c r="BN66" i="2"/>
  <c r="BN82" i="2"/>
  <c r="BM82" i="2"/>
  <c r="BL82" i="2"/>
  <c r="BN98" i="2"/>
  <c r="BM98" i="2"/>
  <c r="BL98" i="2"/>
  <c r="BN114" i="2"/>
  <c r="BM114" i="2"/>
  <c r="BL114" i="2"/>
  <c r="BN130" i="2"/>
  <c r="BM130" i="2"/>
  <c r="BL130" i="2"/>
  <c r="BN146" i="2"/>
  <c r="BM146" i="2"/>
  <c r="BL146" i="2"/>
  <c r="BN48" i="2"/>
  <c r="BL48" i="2"/>
  <c r="BM48" i="2"/>
  <c r="BM67" i="2"/>
  <c r="BL67" i="2"/>
  <c r="BN67" i="2"/>
  <c r="BM83" i="2"/>
  <c r="BL83" i="2"/>
  <c r="BN83" i="2"/>
  <c r="BM99" i="2"/>
  <c r="BL99" i="2"/>
  <c r="BN99" i="2"/>
  <c r="BM115" i="2"/>
  <c r="BL115" i="2"/>
  <c r="BN115" i="2"/>
  <c r="BM131" i="2"/>
  <c r="BL131" i="2"/>
  <c r="BN131" i="2"/>
  <c r="BN147" i="2"/>
  <c r="BM147" i="2"/>
  <c r="BL147" i="2"/>
  <c r="CW48" i="2"/>
  <c r="CW64" i="2"/>
  <c r="CW80" i="2"/>
  <c r="CW96" i="2"/>
  <c r="CW49" i="2"/>
  <c r="CW68" i="2"/>
  <c r="CW81" i="2"/>
  <c r="CW97" i="2"/>
  <c r="CW50" i="2"/>
  <c r="CW65" i="2"/>
  <c r="CW82" i="2"/>
  <c r="CW98" i="2"/>
  <c r="CW51" i="2"/>
  <c r="CW66" i="2"/>
  <c r="CW83" i="2"/>
  <c r="CW99" i="2"/>
  <c r="CW113" i="2"/>
  <c r="CW129" i="2"/>
  <c r="CW145" i="2"/>
  <c r="CW114" i="2"/>
  <c r="CW130" i="2"/>
  <c r="CW146" i="2"/>
  <c r="CW115" i="2"/>
  <c r="CW131" i="2"/>
  <c r="CW147" i="2"/>
  <c r="CW112" i="2"/>
  <c r="CW128" i="2"/>
  <c r="DE5" i="2"/>
  <c r="BL4" i="2"/>
  <c r="CW4" i="2"/>
  <c r="CW19" i="2"/>
  <c r="CW35" i="2"/>
  <c r="CW20" i="2"/>
  <c r="CW5" i="2"/>
  <c r="CW21" i="2"/>
  <c r="CW6" i="2"/>
  <c r="CW22" i="2"/>
  <c r="CW7" i="2"/>
  <c r="CW23" i="2"/>
  <c r="CW8" i="2"/>
  <c r="CW24" i="2"/>
  <c r="CW9" i="2"/>
  <c r="CW25" i="2"/>
  <c r="CW10" i="2"/>
  <c r="CW26" i="2"/>
  <c r="CW11" i="2"/>
  <c r="CW27" i="2"/>
  <c r="CW12" i="2"/>
  <c r="CW28" i="2"/>
  <c r="CW13" i="2"/>
  <c r="CW29" i="2"/>
  <c r="CW14" i="2"/>
  <c r="CW30" i="2"/>
  <c r="CW15" i="2"/>
  <c r="CW31" i="2"/>
  <c r="CW16" i="2"/>
  <c r="CW32" i="2"/>
  <c r="CW17" i="2"/>
  <c r="CW33" i="2"/>
  <c r="CW18" i="2"/>
  <c r="CW34" i="2"/>
  <c r="DB35" i="2"/>
  <c r="DB31" i="2"/>
  <c r="DB19" i="2"/>
  <c r="DE6" i="2"/>
  <c r="DE7" i="2"/>
  <c r="DE10" i="2"/>
  <c r="DB7" i="2"/>
  <c r="BL10" i="2"/>
  <c r="BM12" i="2"/>
  <c r="DE11" i="2"/>
  <c r="BM24" i="2"/>
  <c r="BM10" i="2"/>
  <c r="BN24" i="2"/>
  <c r="BL12" i="2"/>
  <c r="BL11" i="2"/>
  <c r="BN12" i="2"/>
  <c r="BM11" i="2"/>
  <c r="BN4" i="2"/>
  <c r="BM28" i="2"/>
  <c r="BM4" i="2"/>
  <c r="BM13" i="2"/>
  <c r="BL18" i="2"/>
  <c r="BM7" i="2"/>
  <c r="BN35" i="2"/>
  <c r="BM6" i="2"/>
  <c r="BL29" i="2"/>
  <c r="BN25" i="2"/>
  <c r="BL35" i="2"/>
  <c r="BM35" i="2"/>
  <c r="BL6" i="2"/>
  <c r="BL25" i="2"/>
  <c r="BN13" i="2"/>
  <c r="BN23" i="2"/>
  <c r="BN29" i="2"/>
  <c r="BN6" i="2"/>
  <c r="BL28" i="2"/>
  <c r="BL13" i="2"/>
  <c r="BM25" i="2"/>
  <c r="BN17" i="2"/>
  <c r="BL7" i="2"/>
  <c r="BN15" i="2"/>
  <c r="BL21" i="2"/>
  <c r="BL17" i="2"/>
  <c r="BN7" i="2"/>
  <c r="BM15" i="2"/>
  <c r="BM18" i="2"/>
  <c r="BM17" i="2"/>
  <c r="BN21" i="2"/>
  <c r="BL32" i="2"/>
  <c r="BM19" i="2"/>
  <c r="BM26" i="2"/>
  <c r="BN16" i="2"/>
  <c r="BL23" i="2"/>
  <c r="BM9" i="2"/>
  <c r="BL31" i="2"/>
  <c r="BM32" i="2"/>
  <c r="BL16" i="2"/>
  <c r="BM8" i="2"/>
  <c r="BM5" i="2"/>
  <c r="BN9" i="2"/>
  <c r="BL8" i="2"/>
  <c r="BN31" i="2"/>
  <c r="BN26" i="2"/>
  <c r="BL19" i="2"/>
  <c r="BL22" i="2"/>
  <c r="BN19" i="2"/>
  <c r="BL9" i="2"/>
  <c r="BN33" i="2"/>
  <c r="BL14" i="2"/>
  <c r="BL20" i="2"/>
  <c r="BL33" i="2"/>
  <c r="BM30" i="2"/>
  <c r="BN27" i="2"/>
  <c r="BM22" i="2"/>
  <c r="BN22" i="2"/>
  <c r="BN14" i="2"/>
  <c r="BN20" i="2"/>
  <c r="BM20" i="2"/>
  <c r="BL34" i="2"/>
  <c r="BN5" i="2"/>
  <c r="BL5" i="2"/>
  <c r="BM34" i="2"/>
  <c r="BL30" i="2"/>
  <c r="BM27" i="2"/>
  <c r="BN30" i="2"/>
  <c r="AK41" i="2"/>
  <c r="AJ41" i="2"/>
  <c r="AJ40" i="2"/>
  <c r="AK29" i="2"/>
  <c r="AJ29" i="2"/>
  <c r="AK44" i="2"/>
  <c r="AJ45" i="2"/>
  <c r="AJ30" i="2"/>
  <c r="AK40" i="2"/>
  <c r="AK30" i="2"/>
  <c r="AJ44" i="2"/>
  <c r="AK45" i="2"/>
  <c r="AK36" i="2"/>
  <c r="AJ51" i="2"/>
  <c r="CZ147" i="2"/>
  <c r="CX147" i="2"/>
  <c r="CY147" i="2"/>
  <c r="CY130" i="2"/>
  <c r="CX130" i="2"/>
  <c r="CZ130" i="2"/>
  <c r="CX113" i="2"/>
  <c r="CZ113" i="2"/>
  <c r="CY113" i="2"/>
  <c r="CZ51" i="2"/>
  <c r="CY51" i="2"/>
  <c r="CX51" i="2"/>
  <c r="CZ50" i="2"/>
  <c r="CX50" i="2"/>
  <c r="CY50" i="2"/>
  <c r="CZ49" i="2"/>
  <c r="CY49" i="2"/>
  <c r="CX49" i="2"/>
  <c r="CZ48" i="2"/>
  <c r="CY48" i="2"/>
  <c r="CX48" i="2"/>
  <c r="CY143" i="2"/>
  <c r="CX143" i="2"/>
  <c r="CZ143" i="2"/>
  <c r="CZ126" i="2"/>
  <c r="CY126" i="2"/>
  <c r="CX126" i="2"/>
  <c r="CY109" i="2"/>
  <c r="CX109" i="2"/>
  <c r="CZ109" i="2"/>
  <c r="CZ47" i="2"/>
  <c r="CY47" i="2"/>
  <c r="CX47" i="2"/>
  <c r="CZ46" i="2"/>
  <c r="CX46" i="2"/>
  <c r="CY46" i="2"/>
  <c r="CZ45" i="2"/>
  <c r="CY45" i="2"/>
  <c r="CX45" i="2"/>
  <c r="CZ44" i="2"/>
  <c r="CY44" i="2"/>
  <c r="CX44" i="2"/>
  <c r="CZ139" i="2"/>
  <c r="CY139" i="2"/>
  <c r="CX139" i="2"/>
  <c r="CZ122" i="2"/>
  <c r="CX122" i="2"/>
  <c r="CY122" i="2"/>
  <c r="CZ105" i="2"/>
  <c r="CY105" i="2"/>
  <c r="CX105" i="2"/>
  <c r="CZ43" i="2"/>
  <c r="CY43" i="2"/>
  <c r="CX43" i="2"/>
  <c r="CZ42" i="2"/>
  <c r="CX42" i="2"/>
  <c r="CY42" i="2"/>
  <c r="CZ41" i="2"/>
  <c r="CY41" i="2"/>
  <c r="CX41" i="2"/>
  <c r="CZ40" i="2"/>
  <c r="CY40" i="2"/>
  <c r="CX40" i="2"/>
  <c r="CX132" i="2"/>
  <c r="CZ132" i="2"/>
  <c r="CY132" i="2"/>
  <c r="CZ119" i="2"/>
  <c r="CX119" i="2"/>
  <c r="CY119" i="2"/>
  <c r="CY102" i="2"/>
  <c r="CX102" i="2"/>
  <c r="CZ102" i="2"/>
  <c r="CZ87" i="2"/>
  <c r="CX87" i="2"/>
  <c r="CY87" i="2"/>
  <c r="CX86" i="2"/>
  <c r="CZ86" i="2"/>
  <c r="CY86" i="2"/>
  <c r="CX85" i="2"/>
  <c r="CY85" i="2"/>
  <c r="CZ85" i="2"/>
  <c r="CZ84" i="2"/>
  <c r="CX84" i="2"/>
  <c r="CY84" i="2"/>
  <c r="CX131" i="2"/>
  <c r="CY131" i="2"/>
  <c r="CZ131" i="2"/>
  <c r="CZ114" i="2"/>
  <c r="CY114" i="2"/>
  <c r="CX114" i="2"/>
  <c r="CX99" i="2"/>
  <c r="CY99" i="2"/>
  <c r="CZ99" i="2"/>
  <c r="CZ98" i="2"/>
  <c r="CY98" i="2"/>
  <c r="CX98" i="2"/>
  <c r="CX97" i="2"/>
  <c r="CZ97" i="2"/>
  <c r="CY97" i="2"/>
  <c r="CY96" i="2"/>
  <c r="CX96" i="2"/>
  <c r="CZ96" i="2"/>
  <c r="CZ140" i="2"/>
  <c r="CY140" i="2"/>
  <c r="CX140" i="2"/>
  <c r="CY127" i="2"/>
  <c r="CX127" i="2"/>
  <c r="CZ127" i="2"/>
  <c r="CZ110" i="2"/>
  <c r="CY110" i="2"/>
  <c r="CX110" i="2"/>
  <c r="CY95" i="2"/>
  <c r="CX95" i="2"/>
  <c r="CZ95" i="2"/>
  <c r="CZ94" i="2"/>
  <c r="CY94" i="2"/>
  <c r="CX94" i="2"/>
  <c r="CY93" i="2"/>
  <c r="CX93" i="2"/>
  <c r="CZ93" i="2"/>
  <c r="CZ92" i="2"/>
  <c r="CY92" i="2"/>
  <c r="CX92" i="2"/>
  <c r="CZ136" i="2"/>
  <c r="CY136" i="2"/>
  <c r="CX136" i="2"/>
  <c r="CZ123" i="2"/>
  <c r="CY123" i="2"/>
  <c r="CX123" i="2"/>
  <c r="CX106" i="2"/>
  <c r="CZ106" i="2"/>
  <c r="CY106" i="2"/>
  <c r="CZ91" i="2"/>
  <c r="CY91" i="2"/>
  <c r="CX91" i="2"/>
  <c r="CX90" i="2"/>
  <c r="CZ90" i="2"/>
  <c r="CY90" i="2"/>
  <c r="CZ89" i="2"/>
  <c r="CY89" i="2"/>
  <c r="CX89" i="2"/>
  <c r="CZ88" i="2"/>
  <c r="CY88" i="2"/>
  <c r="CX88" i="2"/>
  <c r="CX116" i="2"/>
  <c r="CZ116" i="2"/>
  <c r="CY116" i="2"/>
  <c r="CZ103" i="2"/>
  <c r="CY103" i="2"/>
  <c r="CX103" i="2"/>
  <c r="CZ133" i="2"/>
  <c r="CY133" i="2"/>
  <c r="CX133" i="2"/>
  <c r="CY69" i="2"/>
  <c r="CX69" i="2"/>
  <c r="CZ69" i="2"/>
  <c r="CY72" i="2"/>
  <c r="CZ72" i="2"/>
  <c r="CX72" i="2"/>
  <c r="CY71" i="2"/>
  <c r="CZ71" i="2"/>
  <c r="CX71" i="2"/>
  <c r="CY67" i="2"/>
  <c r="CZ67" i="2"/>
  <c r="CX67" i="2"/>
  <c r="AJ16" i="2"/>
  <c r="CY128" i="2"/>
  <c r="CX128" i="2"/>
  <c r="CZ128" i="2"/>
  <c r="CX115" i="2"/>
  <c r="CZ115" i="2"/>
  <c r="CY115" i="2"/>
  <c r="CX145" i="2"/>
  <c r="CZ145" i="2"/>
  <c r="CY145" i="2"/>
  <c r="CX83" i="2"/>
  <c r="CZ83" i="2"/>
  <c r="CY83" i="2"/>
  <c r="CZ82" i="2"/>
  <c r="CY82" i="2"/>
  <c r="CX82" i="2"/>
  <c r="CX81" i="2"/>
  <c r="CY81" i="2"/>
  <c r="CZ81" i="2"/>
  <c r="CZ80" i="2"/>
  <c r="CY80" i="2"/>
  <c r="CX80" i="2"/>
  <c r="CZ124" i="2"/>
  <c r="CY124" i="2"/>
  <c r="CX124" i="2"/>
  <c r="CY111" i="2"/>
  <c r="CX111" i="2"/>
  <c r="CZ111" i="2"/>
  <c r="CY141" i="2"/>
  <c r="CX141" i="2"/>
  <c r="CZ141" i="2"/>
  <c r="CX79" i="2"/>
  <c r="CZ79" i="2"/>
  <c r="CY79" i="2"/>
  <c r="CY78" i="2"/>
  <c r="CX78" i="2"/>
  <c r="CZ78" i="2"/>
  <c r="CY77" i="2"/>
  <c r="CX77" i="2"/>
  <c r="CZ77" i="2"/>
  <c r="CY73" i="2"/>
  <c r="CX73" i="2"/>
  <c r="CZ73" i="2"/>
  <c r="CZ120" i="2"/>
  <c r="CY120" i="2"/>
  <c r="CX120" i="2"/>
  <c r="CZ107" i="2"/>
  <c r="CY107" i="2"/>
  <c r="CX107" i="2"/>
  <c r="CZ137" i="2"/>
  <c r="CY137" i="2"/>
  <c r="CX137" i="2"/>
  <c r="CY76" i="2"/>
  <c r="CZ76" i="2"/>
  <c r="CX76" i="2"/>
  <c r="CY75" i="2"/>
  <c r="CX75" i="2"/>
  <c r="CZ75" i="2"/>
  <c r="CY74" i="2"/>
  <c r="CX74" i="2"/>
  <c r="CZ74" i="2"/>
  <c r="CY70" i="2"/>
  <c r="CX70" i="2"/>
  <c r="CZ70" i="2"/>
  <c r="CX100" i="2"/>
  <c r="CZ100" i="2"/>
  <c r="CY100" i="2"/>
  <c r="CX134" i="2"/>
  <c r="CY134" i="2"/>
  <c r="CZ134" i="2"/>
  <c r="CZ117" i="2"/>
  <c r="CY117" i="2"/>
  <c r="CX117" i="2"/>
  <c r="CZ55" i="2"/>
  <c r="CY55" i="2"/>
  <c r="CX55" i="2"/>
  <c r="CZ54" i="2"/>
  <c r="CX54" i="2"/>
  <c r="CY54" i="2"/>
  <c r="CZ53" i="2"/>
  <c r="CY53" i="2"/>
  <c r="CX53" i="2"/>
  <c r="CZ52" i="2"/>
  <c r="CY52" i="2"/>
  <c r="CX52" i="2"/>
  <c r="CY112" i="2"/>
  <c r="CX112" i="2"/>
  <c r="CZ112" i="2"/>
  <c r="CY146" i="2"/>
  <c r="CX146" i="2"/>
  <c r="CZ146" i="2"/>
  <c r="CX129" i="2"/>
  <c r="CZ129" i="2"/>
  <c r="CY129" i="2"/>
  <c r="CY66" i="2"/>
  <c r="CX66" i="2"/>
  <c r="CZ66" i="2"/>
  <c r="CY65" i="2"/>
  <c r="CZ65" i="2"/>
  <c r="CX65" i="2"/>
  <c r="CY68" i="2"/>
  <c r="CZ68" i="2"/>
  <c r="CX68" i="2"/>
  <c r="CY64" i="2"/>
  <c r="CZ64" i="2"/>
  <c r="CX64" i="2"/>
  <c r="CZ108" i="2"/>
  <c r="CY108" i="2"/>
  <c r="CX108" i="2"/>
  <c r="CZ142" i="2"/>
  <c r="CY142" i="2"/>
  <c r="CX142" i="2"/>
  <c r="CY125" i="2"/>
  <c r="CX125" i="2"/>
  <c r="CZ125" i="2"/>
  <c r="CY63" i="2"/>
  <c r="CZ63" i="2"/>
  <c r="CX63" i="2"/>
  <c r="CZ62" i="2"/>
  <c r="CX62" i="2"/>
  <c r="CY62" i="2"/>
  <c r="CZ61" i="2"/>
  <c r="CY61" i="2"/>
  <c r="CX61" i="2"/>
  <c r="CZ60" i="2"/>
  <c r="CY60" i="2"/>
  <c r="CX60" i="2"/>
  <c r="CZ104" i="2"/>
  <c r="CY104" i="2"/>
  <c r="CX104" i="2"/>
  <c r="CZ138" i="2"/>
  <c r="CY138" i="2"/>
  <c r="CX138" i="2"/>
  <c r="CZ121" i="2"/>
  <c r="CY121" i="2"/>
  <c r="CX121" i="2"/>
  <c r="CZ59" i="2"/>
  <c r="CX59" i="2"/>
  <c r="CY59" i="2"/>
  <c r="CZ58" i="2"/>
  <c r="CX58" i="2"/>
  <c r="CY58" i="2"/>
  <c r="CZ57" i="2"/>
  <c r="CY57" i="2"/>
  <c r="CX57" i="2"/>
  <c r="CZ56" i="2"/>
  <c r="CY56" i="2"/>
  <c r="CX56" i="2"/>
  <c r="CZ135" i="2"/>
  <c r="CY135" i="2"/>
  <c r="CX135" i="2"/>
  <c r="CY118" i="2"/>
  <c r="CX118" i="2"/>
  <c r="CZ118" i="2"/>
  <c r="CZ101" i="2"/>
  <c r="CY101" i="2"/>
  <c r="CX101" i="2"/>
  <c r="CZ39" i="2"/>
  <c r="CY39" i="2"/>
  <c r="CX39" i="2"/>
  <c r="CZ38" i="2"/>
  <c r="CX38" i="2"/>
  <c r="CY38" i="2"/>
  <c r="CZ37" i="2"/>
  <c r="CY37" i="2"/>
  <c r="CX37" i="2"/>
  <c r="CZ36" i="2"/>
  <c r="CY36" i="2"/>
  <c r="CX36" i="2"/>
  <c r="AP51" i="2"/>
  <c r="AR50" i="2"/>
  <c r="AN50" i="2"/>
  <c r="AP49" i="2"/>
  <c r="AR48" i="2"/>
  <c r="AN48" i="2"/>
  <c r="AP47" i="2"/>
  <c r="AR46" i="2"/>
  <c r="AN46" i="2"/>
  <c r="AP45" i="2"/>
  <c r="AR44" i="2"/>
  <c r="AN44" i="2"/>
  <c r="AP43" i="2"/>
  <c r="AR42" i="2"/>
  <c r="AN42" i="2"/>
  <c r="AP41" i="2"/>
  <c r="AR40" i="2"/>
  <c r="AN40" i="2"/>
  <c r="AP39" i="2"/>
  <c r="AR38" i="2"/>
  <c r="AN38" i="2"/>
  <c r="AP37" i="2"/>
  <c r="AR36" i="2"/>
  <c r="AN36" i="2"/>
  <c r="AP35" i="2"/>
  <c r="AR34" i="2"/>
  <c r="AN34" i="2"/>
  <c r="AP33" i="2"/>
  <c r="AR32" i="2"/>
  <c r="AN32" i="2"/>
  <c r="AP31" i="2"/>
  <c r="AR30" i="2"/>
  <c r="AN30" i="2"/>
  <c r="AP29" i="2"/>
  <c r="AR28" i="2"/>
  <c r="AN28" i="2"/>
  <c r="AP27" i="2"/>
  <c r="AR26" i="2"/>
  <c r="AN26" i="2"/>
  <c r="AP25" i="2"/>
  <c r="AR24" i="2"/>
  <c r="AN24" i="2"/>
  <c r="AP23" i="2"/>
  <c r="AR22" i="2"/>
  <c r="AN22" i="2"/>
  <c r="AP21" i="2"/>
  <c r="AR20" i="2"/>
  <c r="AN20" i="2"/>
  <c r="AP19" i="2"/>
  <c r="AR18" i="2"/>
  <c r="AN18" i="2"/>
  <c r="AO51" i="2"/>
  <c r="AQ50" i="2"/>
  <c r="AO49" i="2"/>
  <c r="AQ48" i="2"/>
  <c r="AO47" i="2"/>
  <c r="AQ46" i="2"/>
  <c r="AO45" i="2"/>
  <c r="AQ44" i="2"/>
  <c r="AO43" i="2"/>
  <c r="AQ42" i="2"/>
  <c r="AO41" i="2"/>
  <c r="AQ40" i="2"/>
  <c r="AO39" i="2"/>
  <c r="AQ38" i="2"/>
  <c r="AO37" i="2"/>
  <c r="AQ36" i="2"/>
  <c r="AS36" i="2"/>
  <c r="AO35" i="2"/>
  <c r="AQ34" i="2"/>
  <c r="AO33" i="2"/>
  <c r="AQ32" i="2"/>
  <c r="AO31" i="2"/>
  <c r="AQ30" i="2"/>
  <c r="AO29" i="2"/>
  <c r="AQ28" i="2"/>
  <c r="AO27" i="2"/>
  <c r="AQ26" i="2"/>
  <c r="AO25" i="2"/>
  <c r="AQ24" i="2"/>
  <c r="AO23" i="2"/>
  <c r="AQ22" i="2"/>
  <c r="AO21" i="2"/>
  <c r="AQ20" i="2"/>
  <c r="AO19" i="2"/>
  <c r="AQ18" i="2"/>
  <c r="AR51" i="2"/>
  <c r="AN51" i="2"/>
  <c r="AP50" i="2"/>
  <c r="AR49" i="2"/>
  <c r="AN49" i="2"/>
  <c r="AT49" i="2"/>
  <c r="AP48" i="2"/>
  <c r="AR47" i="2"/>
  <c r="AN47" i="2"/>
  <c r="AP46" i="2"/>
  <c r="AR45" i="2"/>
  <c r="AN45" i="2"/>
  <c r="AP44" i="2"/>
  <c r="AR43" i="2"/>
  <c r="AN43" i="2"/>
  <c r="AP42" i="2"/>
  <c r="AR41" i="2"/>
  <c r="AN41" i="2"/>
  <c r="AT41" i="2"/>
  <c r="AP40" i="2"/>
  <c r="AR39" i="2"/>
  <c r="AN39" i="2"/>
  <c r="AP38" i="2"/>
  <c r="AR37" i="2"/>
  <c r="AN37" i="2"/>
  <c r="AP36" i="2"/>
  <c r="AR35" i="2"/>
  <c r="AN35" i="2"/>
  <c r="AP34" i="2"/>
  <c r="AR33" i="2"/>
  <c r="AN33" i="2"/>
  <c r="AP32" i="2"/>
  <c r="AR31" i="2"/>
  <c r="AN31" i="2"/>
  <c r="AP30" i="2"/>
  <c r="AR29" i="2"/>
  <c r="AN29" i="2"/>
  <c r="AP28" i="2"/>
  <c r="AR27" i="2"/>
  <c r="AN27" i="2"/>
  <c r="AP26" i="2"/>
  <c r="AR25" i="2"/>
  <c r="AN25" i="2"/>
  <c r="AP24" i="2"/>
  <c r="AR23" i="2"/>
  <c r="AN23" i="2"/>
  <c r="AP22" i="2"/>
  <c r="AR21" i="2"/>
  <c r="AN21" i="2"/>
  <c r="AP20" i="2"/>
  <c r="AR19" i="2"/>
  <c r="AN19" i="2"/>
  <c r="AP18" i="2"/>
  <c r="AQ51" i="2"/>
  <c r="AO50" i="2"/>
  <c r="AQ49" i="2"/>
  <c r="AO48" i="2"/>
  <c r="AQ47" i="2"/>
  <c r="AO46" i="2"/>
  <c r="AQ45" i="2"/>
  <c r="AO44" i="2"/>
  <c r="AQ43" i="2"/>
  <c r="AO42" i="2"/>
  <c r="AQ41" i="2"/>
  <c r="AX41" i="2"/>
  <c r="AO40" i="2"/>
  <c r="AQ39" i="2"/>
  <c r="AO38" i="2"/>
  <c r="AQ37" i="2"/>
  <c r="AS37" i="2"/>
  <c r="AO36" i="2"/>
  <c r="AQ35" i="2"/>
  <c r="AO34" i="2"/>
  <c r="AQ33" i="2"/>
  <c r="AO32" i="2"/>
  <c r="AQ31" i="2"/>
  <c r="AO30" i="2"/>
  <c r="AQ29" i="2"/>
  <c r="AO28" i="2"/>
  <c r="AQ27" i="2"/>
  <c r="AO26" i="2"/>
  <c r="AQ25" i="2"/>
  <c r="AO24" i="2"/>
  <c r="AQ23" i="2"/>
  <c r="AO22" i="2"/>
  <c r="AQ21" i="2"/>
  <c r="AO20" i="2"/>
  <c r="AQ19" i="2"/>
  <c r="AO18" i="2"/>
  <c r="AQ17" i="2"/>
  <c r="AO16" i="2"/>
  <c r="AQ15" i="2"/>
  <c r="AO14" i="2"/>
  <c r="AQ13" i="2"/>
  <c r="AO12" i="2"/>
  <c r="AQ11" i="2"/>
  <c r="AO10" i="2"/>
  <c r="AQ9" i="2"/>
  <c r="AO8" i="2"/>
  <c r="AQ7" i="2"/>
  <c r="AO6" i="2"/>
  <c r="AQ5" i="2"/>
  <c r="AO4" i="2"/>
  <c r="AP17" i="2"/>
  <c r="AR16" i="2"/>
  <c r="AN16" i="2"/>
  <c r="AP15" i="2"/>
  <c r="AR14" i="2"/>
  <c r="AN14" i="2"/>
  <c r="AP13" i="2"/>
  <c r="AR12" i="2"/>
  <c r="AN12" i="2"/>
  <c r="AP11" i="2"/>
  <c r="AR10" i="2"/>
  <c r="AN10" i="2"/>
  <c r="AP9" i="2"/>
  <c r="AR8" i="2"/>
  <c r="AN8" i="2"/>
  <c r="AP7" i="2"/>
  <c r="AR6" i="2"/>
  <c r="AN6" i="2"/>
  <c r="AP5" i="2"/>
  <c r="AR4" i="2"/>
  <c r="AN4" i="2"/>
  <c r="AO17" i="2"/>
  <c r="AQ16" i="2"/>
  <c r="AO15" i="2"/>
  <c r="AQ14" i="2"/>
  <c r="AO13" i="2"/>
  <c r="AQ12" i="2"/>
  <c r="AO11" i="2"/>
  <c r="AQ10" i="2"/>
  <c r="AO9" i="2"/>
  <c r="AQ8" i="2"/>
  <c r="AO7" i="2"/>
  <c r="AQ6" i="2"/>
  <c r="AO5" i="2"/>
  <c r="AQ4" i="2"/>
  <c r="AR17" i="2"/>
  <c r="AN17" i="2"/>
  <c r="AP16" i="2"/>
  <c r="AR15" i="2"/>
  <c r="AN15" i="2"/>
  <c r="AP14" i="2"/>
  <c r="AR13" i="2"/>
  <c r="AN13" i="2"/>
  <c r="AP12" i="2"/>
  <c r="AR11" i="2"/>
  <c r="AN11" i="2"/>
  <c r="AP10" i="2"/>
  <c r="AR9" i="2"/>
  <c r="AN9" i="2"/>
  <c r="AP8" i="2"/>
  <c r="AR7" i="2"/>
  <c r="AN7" i="2"/>
  <c r="AP6" i="2"/>
  <c r="AR5" i="2"/>
  <c r="AN5" i="2"/>
  <c r="AP4" i="2"/>
  <c r="AJ4" i="2"/>
  <c r="AJ8" i="2"/>
  <c r="AJ12" i="2"/>
  <c r="AG8" i="2"/>
  <c r="AK10" i="2"/>
  <c r="AG16" i="2"/>
  <c r="AH8" i="2"/>
  <c r="AH16" i="2"/>
  <c r="AK5" i="2"/>
  <c r="AG11" i="2"/>
  <c r="AK13" i="2"/>
  <c r="AG19" i="2"/>
  <c r="AK21" i="2"/>
  <c r="AG27" i="2"/>
  <c r="AI32" i="2"/>
  <c r="AG35" i="2"/>
  <c r="AK37" i="2"/>
  <c r="AI40" i="2"/>
  <c r="AG43" i="2"/>
  <c r="AI48" i="2"/>
  <c r="AG51" i="2"/>
  <c r="AH21" i="2"/>
  <c r="AH25" i="2"/>
  <c r="AH29" i="2"/>
  <c r="AH33" i="2"/>
  <c r="AH37" i="2"/>
  <c r="AH41" i="2"/>
  <c r="AH45" i="2"/>
  <c r="AH49" i="2"/>
  <c r="AV49" i="2"/>
  <c r="AK18" i="2"/>
  <c r="AI21" i="2"/>
  <c r="AG24" i="2"/>
  <c r="AK26" i="2"/>
  <c r="AI29" i="2"/>
  <c r="AG32" i="2"/>
  <c r="AK34" i="2"/>
  <c r="AI37" i="2"/>
  <c r="AW37" i="2"/>
  <c r="AG40" i="2"/>
  <c r="AK42" i="2"/>
  <c r="AI45" i="2"/>
  <c r="AG48" i="2"/>
  <c r="AK50" i="2"/>
  <c r="AH20" i="2"/>
  <c r="AH24" i="2"/>
  <c r="AH28" i="2"/>
  <c r="AH32" i="2"/>
  <c r="AH36" i="2"/>
  <c r="AH40" i="2"/>
  <c r="AH44" i="2"/>
  <c r="AH48" i="2"/>
  <c r="AI5" i="2"/>
  <c r="AI13" i="2"/>
  <c r="AH4" i="2"/>
  <c r="AH12" i="2"/>
  <c r="AI8" i="2"/>
  <c r="AI16" i="2"/>
  <c r="AI24" i="2"/>
  <c r="AH5" i="2"/>
  <c r="AH9" i="2"/>
  <c r="AH13" i="2"/>
  <c r="AH17" i="2"/>
  <c r="AG6" i="2"/>
  <c r="AK8" i="2"/>
  <c r="AI11" i="2"/>
  <c r="AG14" i="2"/>
  <c r="AK16" i="2"/>
  <c r="AJ5" i="2"/>
  <c r="AJ9" i="2"/>
  <c r="AJ13" i="2"/>
  <c r="AJ17" i="2"/>
  <c r="AI6" i="2"/>
  <c r="AG9" i="2"/>
  <c r="AK11" i="2"/>
  <c r="AI14" i="2"/>
  <c r="AG17" i="2"/>
  <c r="AK19" i="2"/>
  <c r="AI22" i="2"/>
  <c r="AG25" i="2"/>
  <c r="AK27" i="2"/>
  <c r="AI30" i="2"/>
  <c r="AG33" i="2"/>
  <c r="AK35" i="2"/>
  <c r="AI38" i="2"/>
  <c r="AG41" i="2"/>
  <c r="AK43" i="2"/>
  <c r="AI46" i="2"/>
  <c r="AG49" i="2"/>
  <c r="AK51" i="2"/>
  <c r="AJ22" i="2"/>
  <c r="AJ26" i="2"/>
  <c r="AJ34" i="2"/>
  <c r="AJ38" i="2"/>
  <c r="AJ42" i="2"/>
  <c r="AJ46" i="2"/>
  <c r="AJ50" i="2"/>
  <c r="AI19" i="2"/>
  <c r="AG22" i="2"/>
  <c r="AK24" i="2"/>
  <c r="AI27" i="2"/>
  <c r="AG30" i="2"/>
  <c r="AK32" i="2"/>
  <c r="AI35" i="2"/>
  <c r="AG38" i="2"/>
  <c r="AY40" i="2"/>
  <c r="AI43" i="2"/>
  <c r="AG46" i="2"/>
  <c r="AK48" i="2"/>
  <c r="AY48" i="2"/>
  <c r="AI51" i="2"/>
  <c r="AW51" i="2"/>
  <c r="AJ21" i="2"/>
  <c r="AJ25" i="2"/>
  <c r="AJ33" i="2"/>
  <c r="AJ37" i="2"/>
  <c r="AJ49" i="2"/>
  <c r="AG4" i="2"/>
  <c r="AK6" i="2"/>
  <c r="AG12" i="2"/>
  <c r="AK14" i="2"/>
  <c r="AH6" i="2"/>
  <c r="AH14" i="2"/>
  <c r="AG7" i="2"/>
  <c r="AK9" i="2"/>
  <c r="AG15" i="2"/>
  <c r="AK17" i="2"/>
  <c r="AG23" i="2"/>
  <c r="AK25" i="2"/>
  <c r="AG31" i="2"/>
  <c r="AK33" i="2"/>
  <c r="AG39" i="2"/>
  <c r="AY41" i="2"/>
  <c r="AI44" i="2"/>
  <c r="AG47" i="2"/>
  <c r="AK49" i="2"/>
  <c r="AH19" i="2"/>
  <c r="AH23" i="2"/>
  <c r="AH27" i="2"/>
  <c r="AH31" i="2"/>
  <c r="AH35" i="2"/>
  <c r="AH39" i="2"/>
  <c r="AH43" i="2"/>
  <c r="AH47" i="2"/>
  <c r="AH51" i="2"/>
  <c r="AG20" i="2"/>
  <c r="AK22" i="2"/>
  <c r="AI25" i="2"/>
  <c r="AG28" i="2"/>
  <c r="AI33" i="2"/>
  <c r="AG36" i="2"/>
  <c r="AK38" i="2"/>
  <c r="AI41" i="2"/>
  <c r="AG44" i="2"/>
  <c r="AK46" i="2"/>
  <c r="AI49" i="2"/>
  <c r="AH18" i="2"/>
  <c r="AH22" i="2"/>
  <c r="AH26" i="2"/>
  <c r="AH30" i="2"/>
  <c r="AH34" i="2"/>
  <c r="AH38" i="2"/>
  <c r="AH42" i="2"/>
  <c r="AH46" i="2"/>
  <c r="AH50" i="2"/>
  <c r="AJ6" i="2"/>
  <c r="AJ10" i="2"/>
  <c r="AJ14" i="2"/>
  <c r="AI9" i="2"/>
  <c r="AI17" i="2"/>
  <c r="AH10" i="2"/>
  <c r="AI4" i="2"/>
  <c r="AI12" i="2"/>
  <c r="AI20" i="2"/>
  <c r="AI28" i="2"/>
  <c r="AI36" i="2"/>
  <c r="AH7" i="2"/>
  <c r="AH11" i="2"/>
  <c r="AH15" i="2"/>
  <c r="AK4" i="2"/>
  <c r="AI7" i="2"/>
  <c r="AG10" i="2"/>
  <c r="AK12" i="2"/>
  <c r="AI15" i="2"/>
  <c r="AJ18" i="2"/>
  <c r="AJ7" i="2"/>
  <c r="AJ11" i="2"/>
  <c r="AJ15" i="2"/>
  <c r="AG5" i="2"/>
  <c r="AK7" i="2"/>
  <c r="AI10" i="2"/>
  <c r="AG13" i="2"/>
  <c r="AK15" i="2"/>
  <c r="AI18" i="2"/>
  <c r="AG21" i="2"/>
  <c r="AK23" i="2"/>
  <c r="AI26" i="2"/>
  <c r="AG29" i="2"/>
  <c r="AK31" i="2"/>
  <c r="AI34" i="2"/>
  <c r="AG37" i="2"/>
  <c r="AM37" i="2"/>
  <c r="AK39" i="2"/>
  <c r="AI42" i="2"/>
  <c r="AG45" i="2"/>
  <c r="AK47" i="2"/>
  <c r="AI50" i="2"/>
  <c r="AJ20" i="2"/>
  <c r="AJ24" i="2"/>
  <c r="AJ28" i="2"/>
  <c r="AJ32" i="2"/>
  <c r="AJ36" i="2"/>
  <c r="AJ48" i="2"/>
  <c r="AG18" i="2"/>
  <c r="AK20" i="2"/>
  <c r="AI23" i="2"/>
  <c r="AG26" i="2"/>
  <c r="AK28" i="2"/>
  <c r="AI31" i="2"/>
  <c r="AG34" i="2"/>
  <c r="AI39" i="2"/>
  <c r="AW39" i="2"/>
  <c r="AG42" i="2"/>
  <c r="AI47" i="2"/>
  <c r="AW47" i="2"/>
  <c r="AG50" i="2"/>
  <c r="AJ19" i="2"/>
  <c r="AJ23" i="2"/>
  <c r="AJ27" i="2"/>
  <c r="AJ31" i="2"/>
  <c r="AJ35" i="2"/>
  <c r="AJ39" i="2"/>
  <c r="AJ43" i="2"/>
  <c r="AJ47" i="2"/>
  <c r="BV49" i="2"/>
  <c r="BW48" i="2"/>
  <c r="BV45" i="2"/>
  <c r="BW44" i="2"/>
  <c r="BV41" i="2"/>
  <c r="BW40" i="2"/>
  <c r="BV37" i="2"/>
  <c r="BW36" i="2"/>
  <c r="BV48" i="2"/>
  <c r="BV44" i="2"/>
  <c r="BV40" i="2"/>
  <c r="BV36" i="2"/>
  <c r="BV32" i="2"/>
  <c r="BW49" i="2"/>
  <c r="BW45" i="2"/>
  <c r="BW41" i="2"/>
  <c r="BW37" i="2"/>
  <c r="BW33" i="2"/>
  <c r="BW29" i="2"/>
  <c r="BW28" i="2"/>
  <c r="BW25" i="2"/>
  <c r="BW21" i="2"/>
  <c r="BW17" i="2"/>
  <c r="BW13" i="2"/>
  <c r="BW9" i="2"/>
  <c r="BW5" i="2"/>
  <c r="BV33" i="2"/>
  <c r="BW32" i="2"/>
  <c r="BV28" i="2"/>
  <c r="BV25" i="2"/>
  <c r="BW24" i="2"/>
  <c r="BV21" i="2"/>
  <c r="BW20" i="2"/>
  <c r="BV17" i="2"/>
  <c r="BW16" i="2"/>
  <c r="BV13" i="2"/>
  <c r="BW12" i="2"/>
  <c r="BV9" i="2"/>
  <c r="BW8" i="2"/>
  <c r="BV5" i="2"/>
  <c r="BW4" i="2"/>
  <c r="BV29" i="2"/>
  <c r="BV24" i="2"/>
  <c r="BV20" i="2"/>
  <c r="BV16" i="2"/>
  <c r="BV12" i="2"/>
  <c r="BV8" i="2"/>
  <c r="BV4" i="2"/>
  <c r="CX17" i="2"/>
  <c r="CZ17" i="2"/>
  <c r="CY17" i="2"/>
  <c r="CZ15" i="2"/>
  <c r="CY15" i="2"/>
  <c r="CX15" i="2"/>
  <c r="CZ13" i="2"/>
  <c r="CY13" i="2"/>
  <c r="CX13" i="2"/>
  <c r="CZ11" i="2"/>
  <c r="CY11" i="2"/>
  <c r="CX11" i="2"/>
  <c r="CZ9" i="2"/>
  <c r="CX9" i="2"/>
  <c r="CY9" i="2"/>
  <c r="CZ7" i="2"/>
  <c r="CX7" i="2"/>
  <c r="CY7" i="2"/>
  <c r="CZ5" i="2"/>
  <c r="CY5" i="2"/>
  <c r="CX5" i="2"/>
  <c r="CY4" i="2"/>
  <c r="CZ4" i="2"/>
  <c r="CX4" i="2"/>
  <c r="CX34" i="2"/>
  <c r="CZ34" i="2"/>
  <c r="CY34" i="2"/>
  <c r="CX32" i="2"/>
  <c r="CZ32" i="2"/>
  <c r="CY32" i="2"/>
  <c r="CX30" i="2"/>
  <c r="CZ30" i="2"/>
  <c r="CY30" i="2"/>
  <c r="CX28" i="2"/>
  <c r="CZ28" i="2"/>
  <c r="CY28" i="2"/>
  <c r="CX26" i="2"/>
  <c r="CZ26" i="2"/>
  <c r="CY26" i="2"/>
  <c r="CX24" i="2"/>
  <c r="CZ24" i="2"/>
  <c r="CY24" i="2"/>
  <c r="CX22" i="2"/>
  <c r="CZ22" i="2"/>
  <c r="CY22" i="2"/>
  <c r="CX20" i="2"/>
  <c r="CZ20" i="2"/>
  <c r="CY20" i="2"/>
  <c r="CX18" i="2"/>
  <c r="CZ18" i="2"/>
  <c r="CY18" i="2"/>
  <c r="CX16" i="2"/>
  <c r="CZ16" i="2"/>
  <c r="CY16" i="2"/>
  <c r="CX14" i="2"/>
  <c r="CZ14" i="2"/>
  <c r="CY14" i="2"/>
  <c r="CX12" i="2"/>
  <c r="CZ12" i="2"/>
  <c r="CY12" i="2"/>
  <c r="CX10" i="2"/>
  <c r="CZ10" i="2"/>
  <c r="CY10" i="2"/>
  <c r="CX8" i="2"/>
  <c r="CZ8" i="2"/>
  <c r="CY8" i="2"/>
  <c r="CX6" i="2"/>
  <c r="CZ6" i="2"/>
  <c r="CY6" i="2"/>
  <c r="CZ35" i="2"/>
  <c r="CY35" i="2"/>
  <c r="CX35" i="2"/>
  <c r="CX33" i="2"/>
  <c r="CZ33" i="2"/>
  <c r="CY33" i="2"/>
  <c r="CZ31" i="2"/>
  <c r="CY31" i="2"/>
  <c r="CX31" i="2"/>
  <c r="CZ29" i="2"/>
  <c r="CX29" i="2"/>
  <c r="CY29" i="2"/>
  <c r="CZ27" i="2"/>
  <c r="CY27" i="2"/>
  <c r="CX27" i="2"/>
  <c r="CX25" i="2"/>
  <c r="CZ25" i="2"/>
  <c r="CY25" i="2"/>
  <c r="CZ23" i="2"/>
  <c r="CX23" i="2"/>
  <c r="CY23" i="2"/>
  <c r="CZ21" i="2"/>
  <c r="CY21" i="2"/>
  <c r="CX21" i="2"/>
  <c r="CZ19" i="2"/>
  <c r="CY19" i="2"/>
  <c r="CX19" i="2"/>
  <c r="AY43" i="2"/>
  <c r="AY45" i="2"/>
  <c r="AL45" i="2"/>
  <c r="AS44" i="2"/>
  <c r="AL40" i="2"/>
  <c r="AS45" i="2"/>
  <c r="AX40" i="2"/>
  <c r="AV36" i="2"/>
  <c r="AX45" i="2"/>
  <c r="AV50" i="2"/>
  <c r="AW40" i="2"/>
  <c r="AX44" i="2"/>
  <c r="AW42" i="2"/>
  <c r="AY46" i="2"/>
  <c r="AV43" i="2"/>
  <c r="AL26" i="2"/>
  <c r="AW36" i="2"/>
  <c r="AY49" i="2"/>
  <c r="AW44" i="2"/>
  <c r="AW43" i="2"/>
  <c r="AL41" i="2"/>
  <c r="AY44" i="2"/>
  <c r="AL44" i="2"/>
  <c r="AV42" i="2"/>
  <c r="AW38" i="2"/>
  <c r="AY42" i="2"/>
  <c r="AV41" i="2"/>
  <c r="AV38" i="2"/>
  <c r="AW46" i="2"/>
  <c r="AY50" i="2"/>
  <c r="AV46" i="2"/>
  <c r="AY51" i="2"/>
  <c r="AW45" i="2"/>
  <c r="AV45" i="2"/>
  <c r="AY37" i="2"/>
  <c r="AV37" i="2"/>
  <c r="AS42" i="2"/>
  <c r="AS50" i="2"/>
  <c r="AT51" i="2"/>
  <c r="AT39" i="2"/>
  <c r="AT47" i="2"/>
  <c r="AU47" i="2"/>
  <c r="AM47" i="2"/>
  <c r="AU49" i="2"/>
  <c r="AM49" i="2"/>
  <c r="BA49" i="2"/>
  <c r="BW23" i="2"/>
  <c r="AU46" i="2"/>
  <c r="AM46" i="2"/>
  <c r="AT50" i="2"/>
  <c r="BV22" i="2"/>
  <c r="AU48" i="2"/>
  <c r="AM48" i="2"/>
  <c r="AU51" i="2"/>
  <c r="AM51" i="2"/>
  <c r="AT48" i="2"/>
  <c r="BW22" i="2"/>
  <c r="BV23" i="2"/>
  <c r="AU50" i="2"/>
  <c r="AM50" i="2"/>
  <c r="AT46" i="2"/>
  <c r="AT43" i="2"/>
  <c r="AT37" i="2"/>
  <c r="BA37" i="2"/>
  <c r="AY36" i="2"/>
  <c r="BW34" i="2"/>
  <c r="BW35" i="2"/>
  <c r="BW19" i="2"/>
  <c r="BV19" i="2"/>
  <c r="AU39" i="2"/>
  <c r="AM39" i="2"/>
  <c r="AT38" i="2"/>
  <c r="BV35" i="2"/>
  <c r="AU36" i="2"/>
  <c r="AM36" i="2"/>
  <c r="AU38" i="2"/>
  <c r="AM38" i="2"/>
  <c r="AT36" i="2"/>
  <c r="BV18" i="2"/>
  <c r="BW18" i="2"/>
  <c r="BV34" i="2"/>
  <c r="AU43" i="2"/>
  <c r="AM43" i="2"/>
  <c r="BA43" i="2"/>
  <c r="AT42" i="2"/>
  <c r="AU42" i="2"/>
  <c r="AM42" i="2"/>
  <c r="AW48" i="2"/>
  <c r="AS48" i="2"/>
  <c r="AS41" i="2"/>
  <c r="AS49" i="2"/>
  <c r="AT45" i="2"/>
  <c r="AS51" i="2"/>
  <c r="AS43" i="2"/>
  <c r="AV39" i="2"/>
  <c r="AV48" i="2"/>
  <c r="AW50" i="2"/>
  <c r="AY39" i="2"/>
  <c r="AU37" i="2"/>
  <c r="AW41" i="2"/>
  <c r="AV51" i="2"/>
  <c r="AV44" i="2"/>
  <c r="AY47" i="2"/>
  <c r="AW49" i="2"/>
  <c r="AY38" i="2"/>
  <c r="AV47" i="2"/>
  <c r="AV40" i="2"/>
  <c r="AS46" i="2"/>
  <c r="AS40" i="2"/>
  <c r="AS38" i="2"/>
  <c r="AS39" i="2"/>
  <c r="AS47" i="2"/>
  <c r="BU46" i="2"/>
  <c r="BS32" i="2"/>
  <c r="BW39" i="2"/>
  <c r="BT36" i="2"/>
  <c r="BW14" i="2"/>
  <c r="BT29" i="2"/>
  <c r="AL47" i="2"/>
  <c r="AX47" i="2"/>
  <c r="AX48" i="2"/>
  <c r="AL48" i="2"/>
  <c r="AU45" i="2"/>
  <c r="AM45" i="2"/>
  <c r="BA45" i="2"/>
  <c r="AX37" i="2"/>
  <c r="AL37" i="2"/>
  <c r="AZ37" i="2"/>
  <c r="AX38" i="2"/>
  <c r="AL38" i="2"/>
  <c r="AU41" i="2"/>
  <c r="AM41" i="2"/>
  <c r="BA41" i="2"/>
  <c r="AX50" i="2"/>
  <c r="AL50" i="2"/>
  <c r="AT44" i="2"/>
  <c r="AL43" i="2"/>
  <c r="AZ43" i="2"/>
  <c r="AX43" i="2"/>
  <c r="AL36" i="2"/>
  <c r="AZ36" i="2"/>
  <c r="AX36" i="2"/>
  <c r="AL39" i="2"/>
  <c r="AX39" i="2"/>
  <c r="AM44" i="2"/>
  <c r="AU44" i="2"/>
  <c r="AL46" i="2"/>
  <c r="AX46" i="2"/>
  <c r="AU40" i="2"/>
  <c r="AM40" i="2"/>
  <c r="AX51" i="2"/>
  <c r="AL49" i="2"/>
  <c r="AZ49" i="2"/>
  <c r="AX49" i="2"/>
  <c r="AX42" i="2"/>
  <c r="AL42" i="2"/>
  <c r="AT40" i="2"/>
  <c r="AL51" i="2"/>
  <c r="BU13" i="2"/>
  <c r="BU6" i="2"/>
  <c r="BS25" i="2"/>
  <c r="BS33" i="2"/>
  <c r="BS26" i="2"/>
  <c r="BW7" i="2"/>
  <c r="BS11" i="2"/>
  <c r="BT14" i="2"/>
  <c r="BU17" i="2"/>
  <c r="BS27" i="2"/>
  <c r="BS4" i="2"/>
  <c r="BT7" i="2"/>
  <c r="BU10" i="2"/>
  <c r="BS20" i="2"/>
  <c r="BT23" i="2"/>
  <c r="BV26" i="2"/>
  <c r="BV6" i="2"/>
  <c r="BS13" i="2"/>
  <c r="BT16" i="2"/>
  <c r="BU19" i="2"/>
  <c r="BS6" i="2"/>
  <c r="BT9" i="2"/>
  <c r="BU12" i="2"/>
  <c r="BV15" i="2"/>
  <c r="BS22" i="2"/>
  <c r="BT25" i="2"/>
  <c r="BU27" i="2"/>
  <c r="BV30" i="2"/>
  <c r="BS37" i="2"/>
  <c r="BT40" i="2"/>
  <c r="BU43" i="2"/>
  <c r="BV46" i="2"/>
  <c r="BW26" i="2"/>
  <c r="BS30" i="2"/>
  <c r="BT33" i="2"/>
  <c r="BU36" i="2"/>
  <c r="BV39" i="2"/>
  <c r="BW42" i="2"/>
  <c r="BS46" i="2"/>
  <c r="BT49" i="2"/>
  <c r="BS31" i="2"/>
  <c r="BT34" i="2"/>
  <c r="BU37" i="2"/>
  <c r="BX40" i="2"/>
  <c r="BW43" i="2"/>
  <c r="BS47" i="2"/>
  <c r="BT50" i="2"/>
  <c r="BS36" i="2"/>
  <c r="BT39" i="2"/>
  <c r="BU42" i="2"/>
  <c r="BX45" i="2"/>
  <c r="BS7" i="2"/>
  <c r="BS23" i="2"/>
  <c r="BT19" i="2"/>
  <c r="BT12" i="2"/>
  <c r="BS18" i="2"/>
  <c r="BT31" i="2"/>
  <c r="BU39" i="2"/>
  <c r="BV42" i="2"/>
  <c r="BU5" i="2"/>
  <c r="BW11" i="2"/>
  <c r="BT18" i="2"/>
  <c r="BS28" i="2"/>
  <c r="BS8" i="2"/>
  <c r="BT11" i="2"/>
  <c r="BU14" i="2"/>
  <c r="BS24" i="2"/>
  <c r="BT27" i="2"/>
  <c r="BT4" i="2"/>
  <c r="BU7" i="2"/>
  <c r="BV10" i="2"/>
  <c r="BS17" i="2"/>
  <c r="BT20" i="2"/>
  <c r="BU23" i="2"/>
  <c r="BW27" i="2"/>
  <c r="BW6" i="2"/>
  <c r="BS10" i="2"/>
  <c r="BT13" i="2"/>
  <c r="BU16" i="2"/>
  <c r="BT26" i="2"/>
  <c r="BT28" i="2"/>
  <c r="BU31" i="2"/>
  <c r="BS41" i="2"/>
  <c r="BT44" i="2"/>
  <c r="BU47" i="2"/>
  <c r="BV50" i="2"/>
  <c r="BV27" i="2"/>
  <c r="BX27" i="2"/>
  <c r="BW30" i="2"/>
  <c r="BS34" i="2"/>
  <c r="BT37" i="2"/>
  <c r="BU40" i="2"/>
  <c r="BV43" i="2"/>
  <c r="BW46" i="2"/>
  <c r="BS50" i="2"/>
  <c r="BW31" i="2"/>
  <c r="BS35" i="2"/>
  <c r="BT38" i="2"/>
  <c r="BU41" i="2"/>
  <c r="BX44" i="2"/>
  <c r="BW47" i="2"/>
  <c r="BS51" i="2"/>
  <c r="BS40" i="2"/>
  <c r="BT43" i="2"/>
  <c r="BX49" i="2"/>
  <c r="CD51" i="2"/>
  <c r="BZ51" i="2"/>
  <c r="CO50" i="2"/>
  <c r="CA50" i="2"/>
  <c r="CB49" i="2"/>
  <c r="CC48" i="2"/>
  <c r="CJ48" i="2"/>
  <c r="CD47" i="2"/>
  <c r="BZ47" i="2"/>
  <c r="CO46" i="2"/>
  <c r="CA46" i="2"/>
  <c r="CB45" i="2"/>
  <c r="CC44" i="2"/>
  <c r="CD43" i="2"/>
  <c r="BZ43" i="2"/>
  <c r="CO42" i="2"/>
  <c r="CA42" i="2"/>
  <c r="CB41" i="2"/>
  <c r="CC40" i="2"/>
  <c r="CJ40" i="2"/>
  <c r="CD39" i="2"/>
  <c r="CK39" i="2"/>
  <c r="BZ39" i="2"/>
  <c r="CO38" i="2"/>
  <c r="CA38" i="2"/>
  <c r="CB37" i="2"/>
  <c r="CC36" i="2"/>
  <c r="CD35" i="2"/>
  <c r="BZ35" i="2"/>
  <c r="CO34" i="2"/>
  <c r="CA34" i="2"/>
  <c r="CB33" i="2"/>
  <c r="CD50" i="2"/>
  <c r="BZ50" i="2"/>
  <c r="CO49" i="2"/>
  <c r="CA49" i="2"/>
  <c r="CB48" i="2"/>
  <c r="CC47" i="2"/>
  <c r="CD46" i="2"/>
  <c r="BZ46" i="2"/>
  <c r="CO45" i="2"/>
  <c r="CA45" i="2"/>
  <c r="CB44" i="2"/>
  <c r="CC43" i="2"/>
  <c r="CE43" i="2"/>
  <c r="CD42" i="2"/>
  <c r="BZ42" i="2"/>
  <c r="CO41" i="2"/>
  <c r="CA41" i="2"/>
  <c r="CB40" i="2"/>
  <c r="CC39" i="2"/>
  <c r="CE39" i="2"/>
  <c r="CD38" i="2"/>
  <c r="BZ38" i="2"/>
  <c r="CO37" i="2"/>
  <c r="CA37" i="2"/>
  <c r="CB36" i="2"/>
  <c r="CC35" i="2"/>
  <c r="CD34" i="2"/>
  <c r="BZ34" i="2"/>
  <c r="CO33" i="2"/>
  <c r="CA33" i="2"/>
  <c r="CB32" i="2"/>
  <c r="CC31" i="2"/>
  <c r="CD30" i="2"/>
  <c r="BZ30" i="2"/>
  <c r="CB51" i="2"/>
  <c r="CC50" i="2"/>
  <c r="CD49" i="2"/>
  <c r="CK49" i="2"/>
  <c r="BZ49" i="2"/>
  <c r="CO48" i="2"/>
  <c r="CA48" i="2"/>
  <c r="CB47" i="2"/>
  <c r="CC46" i="2"/>
  <c r="CD45" i="2"/>
  <c r="CK45" i="2"/>
  <c r="BZ45" i="2"/>
  <c r="CO44" i="2"/>
  <c r="CA44" i="2"/>
  <c r="CB43" i="2"/>
  <c r="CC42" i="2"/>
  <c r="CD41" i="2"/>
  <c r="CK41" i="2"/>
  <c r="BZ41" i="2"/>
  <c r="CO40" i="2"/>
  <c r="CA40" i="2"/>
  <c r="CB39" i="2"/>
  <c r="CC38" i="2"/>
  <c r="CD37" i="2"/>
  <c r="CK37" i="2"/>
  <c r="BZ37" i="2"/>
  <c r="CO36" i="2"/>
  <c r="CA36" i="2"/>
  <c r="CB35" i="2"/>
  <c r="CC34" i="2"/>
  <c r="CD33" i="2"/>
  <c r="CK33" i="2"/>
  <c r="BZ33" i="2"/>
  <c r="CO32" i="2"/>
  <c r="CA32" i="2"/>
  <c r="CB31" i="2"/>
  <c r="CC30" i="2"/>
  <c r="CD29" i="2"/>
  <c r="BZ29" i="2"/>
  <c r="CO28" i="2"/>
  <c r="CA28" i="2"/>
  <c r="CB27" i="2"/>
  <c r="CC26" i="2"/>
  <c r="CA51" i="2"/>
  <c r="CB50" i="2"/>
  <c r="CC49" i="2"/>
  <c r="CD48" i="2"/>
  <c r="CK48" i="2"/>
  <c r="BZ48" i="2"/>
  <c r="CO47" i="2"/>
  <c r="CA47" i="2"/>
  <c r="CB46" i="2"/>
  <c r="CC45" i="2"/>
  <c r="CD44" i="2"/>
  <c r="CK44" i="2"/>
  <c r="BZ44" i="2"/>
  <c r="CO43" i="2"/>
  <c r="CA43" i="2"/>
  <c r="CB42" i="2"/>
  <c r="CC41" i="2"/>
  <c r="CJ41" i="2"/>
  <c r="CD40" i="2"/>
  <c r="BZ40" i="2"/>
  <c r="CO39" i="2"/>
  <c r="CA39" i="2"/>
  <c r="CB38" i="2"/>
  <c r="CC37" i="2"/>
  <c r="CJ37" i="2"/>
  <c r="CD36" i="2"/>
  <c r="CK36" i="2"/>
  <c r="BZ36" i="2"/>
  <c r="CO35" i="2"/>
  <c r="CA35" i="2"/>
  <c r="CB34" i="2"/>
  <c r="CC33" i="2"/>
  <c r="CJ33" i="2"/>
  <c r="CD32" i="2"/>
  <c r="CK32" i="2"/>
  <c r="BZ32" i="2"/>
  <c r="CO31" i="2"/>
  <c r="CA31" i="2"/>
  <c r="CB30" i="2"/>
  <c r="CC29" i="2"/>
  <c r="CJ29" i="2"/>
  <c r="CD28" i="2"/>
  <c r="CK28" i="2"/>
  <c r="BZ28" i="2"/>
  <c r="CO27" i="2"/>
  <c r="CA27" i="2"/>
  <c r="CB26" i="2"/>
  <c r="CA30" i="2"/>
  <c r="CO29" i="2"/>
  <c r="CB28" i="2"/>
  <c r="BZ27" i="2"/>
  <c r="CA26" i="2"/>
  <c r="CD25" i="2"/>
  <c r="CK25" i="2"/>
  <c r="BZ25" i="2"/>
  <c r="CO24" i="2"/>
  <c r="CA24" i="2"/>
  <c r="CB23" i="2"/>
  <c r="CC22" i="2"/>
  <c r="CD21" i="2"/>
  <c r="BZ21" i="2"/>
  <c r="CO20" i="2"/>
  <c r="CA20" i="2"/>
  <c r="CB19" i="2"/>
  <c r="CC18" i="2"/>
  <c r="CD17" i="2"/>
  <c r="CK17" i="2"/>
  <c r="BZ17" i="2"/>
  <c r="CO16" i="2"/>
  <c r="CA16" i="2"/>
  <c r="CB15" i="2"/>
  <c r="CC14" i="2"/>
  <c r="CD13" i="2"/>
  <c r="CK13" i="2"/>
  <c r="BZ13" i="2"/>
  <c r="CO12" i="2"/>
  <c r="CA12" i="2"/>
  <c r="CB11" i="2"/>
  <c r="CC10" i="2"/>
  <c r="CD9" i="2"/>
  <c r="BZ9" i="2"/>
  <c r="CO8" i="2"/>
  <c r="CA8" i="2"/>
  <c r="CB7" i="2"/>
  <c r="CC6" i="2"/>
  <c r="CD5" i="2"/>
  <c r="CK5" i="2"/>
  <c r="BZ5" i="2"/>
  <c r="CO4" i="2"/>
  <c r="CA4" i="2"/>
  <c r="CC32" i="2"/>
  <c r="CB29" i="2"/>
  <c r="BZ26" i="2"/>
  <c r="CC25" i="2"/>
  <c r="CJ25" i="2"/>
  <c r="CD24" i="2"/>
  <c r="CK24" i="2"/>
  <c r="BZ24" i="2"/>
  <c r="CO23" i="2"/>
  <c r="CA23" i="2"/>
  <c r="CB22" i="2"/>
  <c r="CC21" i="2"/>
  <c r="CJ21" i="2"/>
  <c r="CD20" i="2"/>
  <c r="CK20" i="2"/>
  <c r="BZ20" i="2"/>
  <c r="CO19" i="2"/>
  <c r="CA19" i="2"/>
  <c r="CB18" i="2"/>
  <c r="CC17" i="2"/>
  <c r="CD16" i="2"/>
  <c r="CK16" i="2"/>
  <c r="BZ16" i="2"/>
  <c r="CO15" i="2"/>
  <c r="CA15" i="2"/>
  <c r="CB14" i="2"/>
  <c r="CC13" i="2"/>
  <c r="CJ13" i="2"/>
  <c r="CD12" i="2"/>
  <c r="CK12" i="2"/>
  <c r="BZ12" i="2"/>
  <c r="CO11" i="2"/>
  <c r="CA11" i="2"/>
  <c r="CB10" i="2"/>
  <c r="CC9" i="2"/>
  <c r="CJ9" i="2"/>
  <c r="CD8" i="2"/>
  <c r="CK8" i="2"/>
  <c r="BZ8" i="2"/>
  <c r="CO7" i="2"/>
  <c r="CA7" i="2"/>
  <c r="CB6" i="2"/>
  <c r="CC5" i="2"/>
  <c r="CD4" i="2"/>
  <c r="CK4" i="2"/>
  <c r="BZ4" i="2"/>
  <c r="CD31" i="2"/>
  <c r="CA29" i="2"/>
  <c r="CH29" i="2"/>
  <c r="CD27" i="2"/>
  <c r="CO26" i="2"/>
  <c r="CB25" i="2"/>
  <c r="CC24" i="2"/>
  <c r="CJ24" i="2"/>
  <c r="CD23" i="2"/>
  <c r="BZ23" i="2"/>
  <c r="CO22" i="2"/>
  <c r="CA22" i="2"/>
  <c r="CB21" i="2"/>
  <c r="CC20" i="2"/>
  <c r="CJ20" i="2"/>
  <c r="CD19" i="2"/>
  <c r="BZ19" i="2"/>
  <c r="CO18" i="2"/>
  <c r="CA18" i="2"/>
  <c r="CB17" i="2"/>
  <c r="CC16" i="2"/>
  <c r="CD15" i="2"/>
  <c r="BZ15" i="2"/>
  <c r="CO14" i="2"/>
  <c r="CA14" i="2"/>
  <c r="CB13" i="2"/>
  <c r="CC12" i="2"/>
  <c r="CD11" i="2"/>
  <c r="BZ11" i="2"/>
  <c r="CO10" i="2"/>
  <c r="CA10" i="2"/>
  <c r="CB9" i="2"/>
  <c r="CC8" i="2"/>
  <c r="CD7" i="2"/>
  <c r="BZ7" i="2"/>
  <c r="CO6" i="2"/>
  <c r="CA6" i="2"/>
  <c r="CB5" i="2"/>
  <c r="CC4" i="2"/>
  <c r="CJ4" i="2"/>
  <c r="BZ31" i="2"/>
  <c r="CO30" i="2"/>
  <c r="CC28" i="2"/>
  <c r="CJ28" i="2"/>
  <c r="CC27" i="2"/>
  <c r="CD26" i="2"/>
  <c r="CO25" i="2"/>
  <c r="CA25" i="2"/>
  <c r="CB24" i="2"/>
  <c r="CC23" i="2"/>
  <c r="CD22" i="2"/>
  <c r="BZ22" i="2"/>
  <c r="CO21" i="2"/>
  <c r="CA21" i="2"/>
  <c r="CB20" i="2"/>
  <c r="CC19" i="2"/>
  <c r="CD18" i="2"/>
  <c r="BZ18" i="2"/>
  <c r="CO17" i="2"/>
  <c r="CA17" i="2"/>
  <c r="CB16" i="2"/>
  <c r="CC15" i="2"/>
  <c r="CD14" i="2"/>
  <c r="BZ14" i="2"/>
  <c r="CO13" i="2"/>
  <c r="CA13" i="2"/>
  <c r="CB12" i="2"/>
  <c r="CC11" i="2"/>
  <c r="CD10" i="2"/>
  <c r="BZ10" i="2"/>
  <c r="CO9" i="2"/>
  <c r="CA9" i="2"/>
  <c r="CB8" i="2"/>
  <c r="CC7" i="2"/>
  <c r="CD6" i="2"/>
  <c r="BZ6" i="2"/>
  <c r="CO5" i="2"/>
  <c r="CA5" i="2"/>
  <c r="CB4" i="2"/>
  <c r="CC51" i="2"/>
  <c r="CO51" i="2"/>
  <c r="BV51" i="2"/>
  <c r="BT10" i="2"/>
  <c r="BU26" i="2"/>
  <c r="BS16" i="2"/>
  <c r="BS9" i="2"/>
  <c r="BU8" i="2"/>
  <c r="BU24" i="2"/>
  <c r="BS49" i="2"/>
  <c r="BS15" i="2"/>
  <c r="BU21" i="2"/>
  <c r="BT5" i="2"/>
  <c r="BU4" i="2"/>
  <c r="BW51" i="2"/>
  <c r="CK51" i="2"/>
  <c r="BT6" i="2"/>
  <c r="BY6" i="2"/>
  <c r="BU9" i="2"/>
  <c r="BW15" i="2"/>
  <c r="BS19" i="2"/>
  <c r="BT22" i="2"/>
  <c r="BU25" i="2"/>
  <c r="BS12" i="2"/>
  <c r="BT15" i="2"/>
  <c r="BU18" i="2"/>
  <c r="BS5" i="2"/>
  <c r="BT8" i="2"/>
  <c r="BU11" i="2"/>
  <c r="BV14" i="2"/>
  <c r="BS21" i="2"/>
  <c r="BT24" i="2"/>
  <c r="BV7" i="2"/>
  <c r="BW10" i="2"/>
  <c r="BS14" i="2"/>
  <c r="BT17" i="2"/>
  <c r="BU20" i="2"/>
  <c r="BU29" i="2"/>
  <c r="BS29" i="2"/>
  <c r="BT32" i="2"/>
  <c r="BU35" i="2"/>
  <c r="BV38" i="2"/>
  <c r="BS45" i="2"/>
  <c r="CG45" i="2"/>
  <c r="BT48" i="2"/>
  <c r="BU51" i="2"/>
  <c r="BU28" i="2"/>
  <c r="BV31" i="2"/>
  <c r="BS38" i="2"/>
  <c r="BT41" i="2"/>
  <c r="BU44" i="2"/>
  <c r="BV47" i="2"/>
  <c r="BW50" i="2"/>
  <c r="BS39" i="2"/>
  <c r="BT42" i="2"/>
  <c r="BU45" i="2"/>
  <c r="CI45" i="2"/>
  <c r="BX48" i="2"/>
  <c r="BU34" i="2"/>
  <c r="BX37" i="2"/>
  <c r="CK40" i="2"/>
  <c r="BS44" i="2"/>
  <c r="BT47" i="2"/>
  <c r="BU50" i="2"/>
  <c r="BU22" i="2"/>
  <c r="BU15" i="2"/>
  <c r="BU30" i="2"/>
  <c r="BV11" i="2"/>
  <c r="BT21" i="2"/>
  <c r="BU32" i="2"/>
  <c r="BW38" i="2"/>
  <c r="BS42" i="2"/>
  <c r="BT45" i="2"/>
  <c r="CH45" i="2"/>
  <c r="BU48" i="2"/>
  <c r="BT30" i="2"/>
  <c r="BU33" i="2"/>
  <c r="BX36" i="2"/>
  <c r="CJ36" i="2"/>
  <c r="BS43" i="2"/>
  <c r="BY43" i="2"/>
  <c r="BT46" i="2"/>
  <c r="BU49" i="2"/>
  <c r="BT35" i="2"/>
  <c r="BU38" i="2"/>
  <c r="BX41" i="2"/>
  <c r="BS48" i="2"/>
  <c r="BT51" i="2"/>
  <c r="AY4" i="2"/>
  <c r="AL4" i="2"/>
  <c r="BX21" i="2"/>
  <c r="AM4" i="2"/>
  <c r="AL33" i="2"/>
  <c r="AU4" i="2"/>
  <c r="AT4" i="2"/>
  <c r="AS4" i="2"/>
  <c r="AW4" i="2"/>
  <c r="AL32" i="2"/>
  <c r="AX4" i="2"/>
  <c r="AV4" i="2"/>
  <c r="BY34" i="2"/>
  <c r="AX28" i="2"/>
  <c r="BY11" i="2"/>
  <c r="BY26" i="2"/>
  <c r="AX29" i="2"/>
  <c r="AM14" i="2"/>
  <c r="AV5" i="2"/>
  <c r="AV7" i="2"/>
  <c r="AV14" i="2"/>
  <c r="AL27" i="2"/>
  <c r="AU12" i="2"/>
  <c r="BX17" i="2"/>
  <c r="AW13" i="2"/>
  <c r="AL19" i="2"/>
  <c r="BX9" i="2"/>
  <c r="AY8" i="2"/>
  <c r="AX9" i="2"/>
  <c r="AY27" i="2"/>
  <c r="AX27" i="2"/>
  <c r="BX33" i="2"/>
  <c r="BX16" i="2"/>
  <c r="AL29" i="2"/>
  <c r="AL28" i="2"/>
  <c r="AL12" i="2"/>
  <c r="BX4" i="2"/>
  <c r="BX24" i="2"/>
  <c r="AX25" i="2"/>
  <c r="AX22" i="2"/>
  <c r="AX12" i="2"/>
  <c r="AY30" i="2"/>
  <c r="AL9" i="2"/>
  <c r="BX13" i="2"/>
  <c r="AY9" i="2"/>
  <c r="AX6" i="2"/>
  <c r="AY31" i="2"/>
  <c r="BX20" i="2"/>
  <c r="AY33" i="2"/>
  <c r="AY24" i="2"/>
  <c r="AL31" i="2"/>
  <c r="BX8" i="2"/>
  <c r="BX32" i="2"/>
  <c r="AY26" i="2"/>
  <c r="AX13" i="2"/>
  <c r="AL30" i="2"/>
  <c r="BX29" i="2"/>
  <c r="AL24" i="2"/>
  <c r="BX25" i="2"/>
  <c r="BX28" i="2"/>
  <c r="AX24" i="2"/>
  <c r="AY21" i="2"/>
  <c r="AY25" i="2"/>
  <c r="AL17" i="2"/>
  <c r="AL21" i="2"/>
  <c r="AX8" i="2"/>
  <c r="AX17" i="2"/>
  <c r="AL25" i="2"/>
  <c r="AL16" i="2"/>
  <c r="AL8" i="2"/>
  <c r="AL13" i="2"/>
  <c r="AY32" i="2"/>
  <c r="AX31" i="2"/>
  <c r="AX16" i="2"/>
  <c r="AY16" i="2"/>
  <c r="AY28" i="2"/>
  <c r="AX26" i="2"/>
  <c r="AY12" i="2"/>
  <c r="AY5" i="2"/>
  <c r="AL5" i="2"/>
  <c r="AX21" i="2"/>
  <c r="AY29" i="2"/>
  <c r="AY13" i="2"/>
  <c r="AX15" i="2"/>
  <c r="AY22" i="2"/>
  <c r="AY20" i="2"/>
  <c r="AL20" i="2"/>
  <c r="AX35" i="2"/>
  <c r="AX20" i="2"/>
  <c r="AL34" i="2"/>
  <c r="AL22" i="2"/>
  <c r="AL23" i="2"/>
  <c r="AX32" i="2"/>
  <c r="BY23" i="2"/>
  <c r="AY18" i="2"/>
  <c r="AY23" i="2"/>
  <c r="AX23" i="2"/>
  <c r="AY34" i="2"/>
  <c r="AS30" i="2"/>
  <c r="AX33" i="2"/>
  <c r="AL35" i="2"/>
  <c r="AY6" i="2"/>
  <c r="AY35" i="2"/>
  <c r="AX34" i="2"/>
  <c r="AX14" i="2"/>
  <c r="AL11" i="2"/>
  <c r="AY11" i="2"/>
  <c r="AY17" i="2"/>
  <c r="AW29" i="2"/>
  <c r="AX11" i="2"/>
  <c r="AL10" i="2"/>
  <c r="BX12" i="2"/>
  <c r="AU24" i="2"/>
  <c r="AX10" i="2"/>
  <c r="AV28" i="2"/>
  <c r="AY10" i="2"/>
  <c r="AL14" i="2"/>
  <c r="AL15" i="2"/>
  <c r="AY15" i="2"/>
  <c r="AX7" i="2"/>
  <c r="AX18" i="2"/>
  <c r="BX5" i="2"/>
  <c r="AU6" i="2"/>
  <c r="AW15" i="2"/>
  <c r="AL7" i="2"/>
  <c r="AY14" i="2"/>
  <c r="AL18" i="2"/>
  <c r="AL6" i="2"/>
  <c r="AX5" i="2"/>
  <c r="AY7" i="2"/>
  <c r="AX19" i="2"/>
  <c r="BY7" i="2"/>
  <c r="AY19" i="2"/>
  <c r="AT19" i="2"/>
  <c r="AU22" i="2"/>
  <c r="AV12" i="2"/>
  <c r="AS8" i="2"/>
  <c r="AU33" i="2"/>
  <c r="AV24" i="2"/>
  <c r="AV16" i="2"/>
  <c r="AM23" i="2"/>
  <c r="AT25" i="2"/>
  <c r="AW35" i="2"/>
  <c r="AW5" i="2"/>
  <c r="AM33" i="2"/>
  <c r="AS34" i="2"/>
  <c r="AW17" i="2"/>
  <c r="AV34" i="2"/>
  <c r="AV31" i="2"/>
  <c r="AW31" i="2"/>
  <c r="AM26" i="2"/>
  <c r="AV15" i="2"/>
  <c r="AM7" i="2"/>
  <c r="AW26" i="2"/>
  <c r="AU18" i="2"/>
  <c r="AM20" i="2"/>
  <c r="AM17" i="2"/>
  <c r="AW30" i="2"/>
  <c r="AT18" i="2"/>
  <c r="AW14" i="2"/>
  <c r="AU10" i="2"/>
  <c r="AM32" i="2"/>
  <c r="AU15" i="2"/>
  <c r="AT14" i="2"/>
  <c r="AW19" i="2"/>
  <c r="AV6" i="2"/>
  <c r="AW9" i="2"/>
  <c r="AT8" i="2"/>
  <c r="AS23" i="2"/>
  <c r="AS13" i="2"/>
  <c r="AT6" i="2"/>
  <c r="AS16" i="2"/>
  <c r="AT29" i="2"/>
  <c r="AW22" i="2"/>
  <c r="AW27" i="2"/>
  <c r="AW16" i="2"/>
  <c r="AW7" i="2"/>
  <c r="AW33" i="2"/>
  <c r="AV11" i="2"/>
  <c r="AW20" i="2"/>
  <c r="AU17" i="2"/>
  <c r="AU31" i="2"/>
  <c r="AV20" i="2"/>
  <c r="AW10" i="2"/>
  <c r="AV19" i="2"/>
  <c r="AM24" i="2"/>
  <c r="AM10" i="2"/>
  <c r="AU7" i="2"/>
  <c r="AT7" i="2"/>
  <c r="AW8" i="2"/>
  <c r="AM34" i="2"/>
  <c r="AW11" i="2"/>
  <c r="AT5" i="2"/>
  <c r="AU11" i="2"/>
  <c r="AT17" i="2"/>
  <c r="AW18" i="2"/>
  <c r="AV29" i="2"/>
  <c r="AV27" i="2"/>
  <c r="AV8" i="2"/>
  <c r="AT28" i="2"/>
  <c r="AU14" i="2"/>
  <c r="AS31" i="2"/>
  <c r="AV33" i="2"/>
  <c r="AU26" i="2"/>
  <c r="AU20" i="2"/>
  <c r="AV23" i="2"/>
  <c r="AU30" i="2"/>
  <c r="AV21" i="2"/>
  <c r="AM25" i="2"/>
  <c r="AW6" i="2"/>
  <c r="AM5" i="2"/>
  <c r="AV10" i="2"/>
  <c r="AM29" i="2"/>
  <c r="AT24" i="2"/>
  <c r="AW24" i="2"/>
  <c r="AU13" i="2"/>
  <c r="AM16" i="2"/>
  <c r="AT35" i="2"/>
  <c r="AV35" i="2"/>
  <c r="AW34" i="2"/>
  <c r="AW28" i="2"/>
  <c r="AW32" i="2"/>
  <c r="AT13" i="2"/>
  <c r="AV9" i="2"/>
  <c r="AT34" i="2"/>
  <c r="AT9" i="2"/>
  <c r="AU32" i="2"/>
  <c r="AT11" i="2"/>
  <c r="AV22" i="2"/>
  <c r="AM18" i="2"/>
  <c r="AV32" i="2"/>
  <c r="AU21" i="2"/>
  <c r="AT30" i="2"/>
  <c r="AU29" i="2"/>
  <c r="AV25" i="2"/>
  <c r="AS11" i="2"/>
  <c r="AM21" i="2"/>
  <c r="AM27" i="2"/>
  <c r="AS10" i="2"/>
  <c r="AU8" i="2"/>
  <c r="AU23" i="2"/>
  <c r="AU35" i="2"/>
  <c r="AS27" i="2"/>
  <c r="AT26" i="2"/>
  <c r="AS25" i="2"/>
  <c r="AM19" i="2"/>
  <c r="AS32" i="2"/>
  <c r="AS9" i="2"/>
  <c r="AM8" i="2"/>
  <c r="AS26" i="2"/>
  <c r="AT21" i="2"/>
  <c r="AV17" i="2"/>
  <c r="AM30" i="2"/>
  <c r="AS14" i="2"/>
  <c r="AS24" i="2"/>
  <c r="AT15" i="2"/>
  <c r="AM11" i="2"/>
  <c r="AM9" i="2"/>
  <c r="AM28" i="2"/>
  <c r="AU27" i="2"/>
  <c r="AW21" i="2"/>
  <c r="AM31" i="2"/>
  <c r="AT27" i="2"/>
  <c r="AT22" i="2"/>
  <c r="AT12" i="2"/>
  <c r="AS20" i="2"/>
  <c r="AS22" i="2"/>
  <c r="AU5" i="2"/>
  <c r="AU25" i="2"/>
  <c r="AV13" i="2"/>
  <c r="AT32" i="2"/>
  <c r="AV30" i="2"/>
  <c r="AS6" i="2"/>
  <c r="AS7" i="2"/>
  <c r="AM13" i="2"/>
  <c r="AS28" i="2"/>
  <c r="AU34" i="2"/>
  <c r="AM6" i="2"/>
  <c r="AM35" i="2"/>
  <c r="AS12" i="2"/>
  <c r="AM15" i="2"/>
  <c r="AW23" i="2"/>
  <c r="AT23" i="2"/>
  <c r="AV26" i="2"/>
  <c r="AS5" i="2"/>
  <c r="AT33" i="2"/>
  <c r="AT16" i="2"/>
  <c r="AS21" i="2"/>
  <c r="AT31" i="2"/>
  <c r="AM22" i="2"/>
  <c r="AU9" i="2"/>
  <c r="AT10" i="2"/>
  <c r="AW12" i="2"/>
  <c r="AS19" i="2"/>
  <c r="AT20" i="2"/>
  <c r="AS17" i="2"/>
  <c r="AS29" i="2"/>
  <c r="AU28" i="2"/>
  <c r="AS35" i="2"/>
  <c r="AS15" i="2"/>
  <c r="AS33" i="2"/>
  <c r="AU19" i="2"/>
  <c r="AS18" i="2"/>
  <c r="AX30" i="2"/>
  <c r="AM12" i="2"/>
  <c r="AU16" i="2"/>
  <c r="AW25" i="2"/>
  <c r="AV18" i="2"/>
  <c r="CE47" i="2"/>
  <c r="AZ44" i="2"/>
  <c r="AZ40" i="2"/>
  <c r="AZ45" i="2"/>
  <c r="CF38" i="2"/>
  <c r="BY31" i="2"/>
  <c r="CG48" i="2"/>
  <c r="CI5" i="2"/>
  <c r="CH42" i="2"/>
  <c r="CI44" i="2"/>
  <c r="CH14" i="2"/>
  <c r="CJ18" i="2"/>
  <c r="CK38" i="2"/>
  <c r="CI19" i="2"/>
  <c r="CH36" i="2"/>
  <c r="AZ26" i="2"/>
  <c r="CK18" i="2"/>
  <c r="CI49" i="2"/>
  <c r="CI51" i="2"/>
  <c r="AZ41" i="2"/>
  <c r="CH48" i="2"/>
  <c r="CI12" i="2"/>
  <c r="CI38" i="2"/>
  <c r="CK31" i="2"/>
  <c r="AZ50" i="2"/>
  <c r="CH51" i="2"/>
  <c r="AZ42" i="2"/>
  <c r="CF46" i="2"/>
  <c r="CF47" i="2"/>
  <c r="BY46" i="2"/>
  <c r="BY47" i="2"/>
  <c r="CJ35" i="2"/>
  <c r="CF42" i="2"/>
  <c r="BY42" i="2"/>
  <c r="CF43" i="2"/>
  <c r="CM43" i="2"/>
  <c r="BA51" i="2"/>
  <c r="AZ39" i="2"/>
  <c r="CE32" i="2"/>
  <c r="CL32" i="2"/>
  <c r="BA39" i="2"/>
  <c r="BX6" i="2"/>
  <c r="CG23" i="2"/>
  <c r="CE51" i="2"/>
  <c r="CI46" i="2"/>
  <c r="CI34" i="2"/>
  <c r="CH41" i="2"/>
  <c r="CH31" i="2"/>
  <c r="BA47" i="2"/>
  <c r="BA48" i="2"/>
  <c r="CG9" i="2"/>
  <c r="BA46" i="2"/>
  <c r="BA50" i="2"/>
  <c r="AZ48" i="2"/>
  <c r="BA38" i="2"/>
  <c r="BA4" i="2"/>
  <c r="BA36" i="2"/>
  <c r="BA42" i="2"/>
  <c r="CF39" i="2"/>
  <c r="CG39" i="2"/>
  <c r="BY39" i="2"/>
  <c r="CG38" i="2"/>
  <c r="BY38" i="2"/>
  <c r="CM38" i="2"/>
  <c r="AZ46" i="2"/>
  <c r="CG42" i="2"/>
  <c r="CI50" i="2"/>
  <c r="CG49" i="2"/>
  <c r="AZ51" i="2"/>
  <c r="CE8" i="2"/>
  <c r="CL8" i="2"/>
  <c r="CE15" i="2"/>
  <c r="CJ11" i="2"/>
  <c r="BX7" i="2"/>
  <c r="CE21" i="2"/>
  <c r="CL21" i="2"/>
  <c r="CH46" i="2"/>
  <c r="AZ33" i="2"/>
  <c r="AZ47" i="2"/>
  <c r="CI4" i="2"/>
  <c r="CH8" i="2"/>
  <c r="CG21" i="2"/>
  <c r="CE41" i="2"/>
  <c r="CL41" i="2"/>
  <c r="CH18" i="2"/>
  <c r="CG15" i="2"/>
  <c r="CG43" i="2"/>
  <c r="CK50" i="2"/>
  <c r="CH47" i="2"/>
  <c r="CH24" i="2"/>
  <c r="AZ38" i="2"/>
  <c r="CH13" i="2"/>
  <c r="CI48" i="2"/>
  <c r="CG44" i="2"/>
  <c r="CI20" i="2"/>
  <c r="CE42" i="2"/>
  <c r="BA44" i="2"/>
  <c r="CE49" i="2"/>
  <c r="CL49" i="2"/>
  <c r="CE38" i="2"/>
  <c r="CE46" i="2"/>
  <c r="CE37" i="2"/>
  <c r="CL37" i="2"/>
  <c r="CE45" i="2"/>
  <c r="CL45" i="2"/>
  <c r="CK47" i="2"/>
  <c r="BA40" i="2"/>
  <c r="CJ51" i="2"/>
  <c r="BX51" i="2"/>
  <c r="CG40" i="2"/>
  <c r="CJ43" i="2"/>
  <c r="BX43" i="2"/>
  <c r="CL43" i="2"/>
  <c r="CH44" i="2"/>
  <c r="CJ45" i="2"/>
  <c r="CH50" i="2"/>
  <c r="CH49" i="2"/>
  <c r="CI36" i="2"/>
  <c r="CG37" i="2"/>
  <c r="CJ47" i="2"/>
  <c r="BX47" i="2"/>
  <c r="CL47" i="2"/>
  <c r="CE36" i="2"/>
  <c r="CL36" i="2"/>
  <c r="CE44" i="2"/>
  <c r="CL44" i="2"/>
  <c r="CJ49" i="2"/>
  <c r="CJ44" i="2"/>
  <c r="CI40" i="2"/>
  <c r="CG41" i="2"/>
  <c r="CI42" i="2"/>
  <c r="CG47" i="2"/>
  <c r="CI37" i="2"/>
  <c r="CG46" i="2"/>
  <c r="CJ46" i="2"/>
  <c r="BX46" i="2"/>
  <c r="CE50" i="2"/>
  <c r="CG51" i="2"/>
  <c r="CI41" i="2"/>
  <c r="CG50" i="2"/>
  <c r="CH37" i="2"/>
  <c r="CJ50" i="2"/>
  <c r="BX50" i="2"/>
  <c r="BX42" i="2"/>
  <c r="CJ42" i="2"/>
  <c r="CH39" i="2"/>
  <c r="CK43" i="2"/>
  <c r="CK42" i="2"/>
  <c r="CI43" i="2"/>
  <c r="CJ38" i="2"/>
  <c r="BX38" i="2"/>
  <c r="CE40" i="2"/>
  <c r="CL40" i="2"/>
  <c r="CE48" i="2"/>
  <c r="CL48" i="2"/>
  <c r="CH43" i="2"/>
  <c r="CH38" i="2"/>
  <c r="CK46" i="2"/>
  <c r="CI47" i="2"/>
  <c r="CI39" i="2"/>
  <c r="CG36" i="2"/>
  <c r="CJ39" i="2"/>
  <c r="BX39" i="2"/>
  <c r="CL39" i="2"/>
  <c r="CH40" i="2"/>
  <c r="CG30" i="2"/>
  <c r="CF35" i="2"/>
  <c r="BY22" i="2"/>
  <c r="CF10" i="2"/>
  <c r="CF7" i="2"/>
  <c r="CM7" i="2"/>
  <c r="BY19" i="2"/>
  <c r="BY18" i="2"/>
  <c r="CK7" i="2"/>
  <c r="BX11" i="2"/>
  <c r="CH23" i="2"/>
  <c r="BX30" i="2"/>
  <c r="CJ30" i="2"/>
  <c r="AZ32" i="2"/>
  <c r="CI8" i="2"/>
  <c r="CI11" i="2"/>
  <c r="CE29" i="2"/>
  <c r="CL29" i="2"/>
  <c r="CG35" i="2"/>
  <c r="CH34" i="2"/>
  <c r="CG17" i="2"/>
  <c r="CE7" i="2"/>
  <c r="CG27" i="2"/>
  <c r="CK11" i="2"/>
  <c r="CI28" i="2"/>
  <c r="CI30" i="2"/>
  <c r="CH5" i="2"/>
  <c r="CE22" i="2"/>
  <c r="BY27" i="2"/>
  <c r="CF34" i="2"/>
  <c r="CM34" i="2"/>
  <c r="BY30" i="2"/>
  <c r="CF22" i="2"/>
  <c r="CF26" i="2"/>
  <c r="CM26" i="2"/>
  <c r="CF30" i="2"/>
  <c r="CF19" i="2"/>
  <c r="BY10" i="2"/>
  <c r="BX15" i="2"/>
  <c r="CJ10" i="2"/>
  <c r="CF23" i="2"/>
  <c r="CM23" i="2"/>
  <c r="BX10" i="2"/>
  <c r="CF27" i="2"/>
  <c r="CH11" i="2"/>
  <c r="BY15" i="2"/>
  <c r="CF31" i="2"/>
  <c r="CM31" i="2"/>
  <c r="CH10" i="2"/>
  <c r="CH4" i="2"/>
  <c r="CF11" i="2"/>
  <c r="CM11" i="2"/>
  <c r="CF18" i="2"/>
  <c r="CM18" i="2"/>
  <c r="CI10" i="2"/>
  <c r="CJ22" i="2"/>
  <c r="CG29" i="2"/>
  <c r="BX34" i="2"/>
  <c r="CK15" i="2"/>
  <c r="CH21" i="2"/>
  <c r="CI18" i="2"/>
  <c r="AZ4" i="2"/>
  <c r="CH17" i="2"/>
  <c r="CH33" i="2"/>
  <c r="CG20" i="2"/>
  <c r="CG26" i="2"/>
  <c r="CG24" i="2"/>
  <c r="CK27" i="2"/>
  <c r="CH12" i="2"/>
  <c r="BY35" i="2"/>
  <c r="CG12" i="2"/>
  <c r="CH16" i="2"/>
  <c r="CH28" i="2"/>
  <c r="CJ34" i="2"/>
  <c r="CE5" i="2"/>
  <c r="CL5" i="2"/>
  <c r="CK34" i="2"/>
  <c r="CH15" i="2"/>
  <c r="CH26" i="2"/>
  <c r="CI9" i="2"/>
  <c r="CE26" i="2"/>
  <c r="CE34" i="2"/>
  <c r="CI23" i="2"/>
  <c r="CG5" i="2"/>
  <c r="CI32" i="2"/>
  <c r="CE23" i="2"/>
  <c r="CG16" i="2"/>
  <c r="CJ23" i="2"/>
  <c r="BX18" i="2"/>
  <c r="CH35" i="2"/>
  <c r="CE11" i="2"/>
  <c r="CH22" i="2"/>
  <c r="CG34" i="2"/>
  <c r="CG6" i="2"/>
  <c r="BY14" i="2"/>
  <c r="CE35" i="2"/>
  <c r="CI24" i="2"/>
  <c r="CG25" i="2"/>
  <c r="CI21" i="2"/>
  <c r="CJ14" i="2"/>
  <c r="CJ31" i="2"/>
  <c r="CJ15" i="2"/>
  <c r="CK6" i="2"/>
  <c r="CG8" i="2"/>
  <c r="CG19" i="2"/>
  <c r="CG11" i="2"/>
  <c r="CI17" i="2"/>
  <c r="CI31" i="2"/>
  <c r="CG13" i="2"/>
  <c r="CI26" i="2"/>
  <c r="BX23" i="2"/>
  <c r="CK35" i="2"/>
  <c r="CK14" i="2"/>
  <c r="CH19" i="2"/>
  <c r="CE30" i="2"/>
  <c r="BX14" i="2"/>
  <c r="CI6" i="2"/>
  <c r="BX31" i="2"/>
  <c r="CF14" i="2"/>
  <c r="CI22" i="2"/>
  <c r="CK23" i="2"/>
  <c r="BX22" i="2"/>
  <c r="CJ7" i="2"/>
  <c r="CK19" i="2"/>
  <c r="CH7" i="2"/>
  <c r="CH27" i="2"/>
  <c r="CG18" i="2"/>
  <c r="CH32" i="2"/>
  <c r="CJ6" i="2"/>
  <c r="CG10" i="2"/>
  <c r="CI15" i="2"/>
  <c r="CG7" i="2"/>
  <c r="CG33" i="2"/>
  <c r="BX26" i="2"/>
  <c r="CG22" i="2"/>
  <c r="CH20" i="2"/>
  <c r="CG32" i="2"/>
  <c r="CE19" i="2"/>
  <c r="CI7" i="2"/>
  <c r="CK21" i="2"/>
  <c r="CK30" i="2"/>
  <c r="BX35" i="2"/>
  <c r="CI25" i="2"/>
  <c r="CE20" i="2"/>
  <c r="CL20" i="2"/>
  <c r="CE14" i="2"/>
  <c r="CG31" i="2"/>
  <c r="CI35" i="2"/>
  <c r="CE9" i="2"/>
  <c r="CL9" i="2"/>
  <c r="CH30" i="2"/>
  <c r="CI14" i="2"/>
  <c r="CF6" i="2"/>
  <c r="CM6" i="2"/>
  <c r="CE33" i="2"/>
  <c r="CL33" i="2"/>
  <c r="CJ8" i="2"/>
  <c r="CI29" i="2"/>
  <c r="CE18" i="2"/>
  <c r="CK10" i="2"/>
  <c r="CJ26" i="2"/>
  <c r="CF15" i="2"/>
  <c r="CG28" i="2"/>
  <c r="CE25" i="2"/>
  <c r="CL25" i="2"/>
  <c r="BX19" i="2"/>
  <c r="CG4" i="2"/>
  <c r="CE4" i="2"/>
  <c r="CL4" i="2"/>
  <c r="CK9" i="2"/>
  <c r="CE12" i="2"/>
  <c r="CL12" i="2"/>
  <c r="CI16" i="2"/>
  <c r="CE17" i="2"/>
  <c r="CL17" i="2"/>
  <c r="CE27" i="2"/>
  <c r="CL27" i="2"/>
  <c r="CJ27" i="2"/>
  <c r="CE6" i="2"/>
  <c r="CJ19" i="2"/>
  <c r="CI27" i="2"/>
  <c r="CE31" i="2"/>
  <c r="AZ9" i="2"/>
  <c r="CH6" i="2"/>
  <c r="CK26" i="2"/>
  <c r="CI33" i="2"/>
  <c r="CE10" i="2"/>
  <c r="CE16" i="2"/>
  <c r="CL16" i="2"/>
  <c r="CH25" i="2"/>
  <c r="CG14" i="2"/>
  <c r="CK22" i="2"/>
  <c r="CJ17" i="2"/>
  <c r="CJ12" i="2"/>
  <c r="CJ5" i="2"/>
  <c r="CH9" i="2"/>
  <c r="AZ24" i="2"/>
  <c r="CI13" i="2"/>
  <c r="CE13" i="2"/>
  <c r="CL13" i="2"/>
  <c r="BA14" i="2"/>
  <c r="AZ12" i="2"/>
  <c r="AZ21" i="2"/>
  <c r="CE24" i="2"/>
  <c r="CL24" i="2"/>
  <c r="AZ8" i="2"/>
  <c r="CE28" i="2"/>
  <c r="CL28" i="2"/>
  <c r="CK29" i="2"/>
  <c r="AZ28" i="2"/>
  <c r="AZ27" i="2"/>
  <c r="CJ16" i="2"/>
  <c r="CJ32" i="2"/>
  <c r="AZ19" i="2"/>
  <c r="AZ29" i="2"/>
  <c r="AZ20" i="2"/>
  <c r="AZ31" i="2"/>
  <c r="AZ16" i="2"/>
  <c r="AZ23" i="2"/>
  <c r="AZ25" i="2"/>
  <c r="AZ17" i="2"/>
  <c r="AZ30" i="2"/>
  <c r="AZ35" i="2"/>
  <c r="AZ13" i="2"/>
  <c r="AZ22" i="2"/>
  <c r="AZ10" i="2"/>
  <c r="AZ6" i="2"/>
  <c r="AZ34" i="2"/>
  <c r="AZ5" i="2"/>
  <c r="AZ18" i="2"/>
  <c r="AZ15" i="2"/>
  <c r="AZ11" i="2"/>
  <c r="AZ14" i="2"/>
  <c r="AZ7" i="2"/>
  <c r="BA9" i="2"/>
  <c r="BA19" i="2"/>
  <c r="BA20" i="2"/>
  <c r="BA18" i="2"/>
  <c r="BA23" i="2"/>
  <c r="BA16" i="2"/>
  <c r="BA6" i="2"/>
  <c r="BA7" i="2"/>
  <c r="BA32" i="2"/>
  <c r="BA25" i="2"/>
  <c r="BA33" i="2"/>
  <c r="BA26" i="2"/>
  <c r="BA17" i="2"/>
  <c r="BA10" i="2"/>
  <c r="BA12" i="2"/>
  <c r="BA8" i="2"/>
  <c r="BA29" i="2"/>
  <c r="BA21" i="2"/>
  <c r="BA30" i="2"/>
  <c r="BA34" i="2"/>
  <c r="BA11" i="2"/>
  <c r="BA5" i="2"/>
  <c r="BA24" i="2"/>
  <c r="BA22" i="2"/>
  <c r="BA35" i="2"/>
  <c r="BA28" i="2"/>
  <c r="BA15" i="2"/>
  <c r="BA31" i="2"/>
  <c r="BA13" i="2"/>
  <c r="BA27" i="2"/>
  <c r="CM39" i="2"/>
  <c r="CP36" i="2"/>
  <c r="CL7" i="2"/>
  <c r="CM46" i="2"/>
  <c r="CM47" i="2"/>
  <c r="CM14" i="2"/>
  <c r="CM42" i="2"/>
  <c r="CP43" i="2"/>
  <c r="CM30" i="2"/>
  <c r="CP30" i="2"/>
  <c r="BE44" i="2"/>
  <c r="CM27" i="2"/>
  <c r="CP24" i="2"/>
  <c r="CL51" i="2"/>
  <c r="CL6" i="2"/>
  <c r="CL22" i="2"/>
  <c r="BF50" i="2"/>
  <c r="CL31" i="2"/>
  <c r="CL15" i="2"/>
  <c r="BE39" i="2"/>
  <c r="BE50" i="2"/>
  <c r="BF48" i="2"/>
  <c r="BF49" i="2"/>
  <c r="BE48" i="2"/>
  <c r="BE51" i="2"/>
  <c r="BE49" i="2"/>
  <c r="CL19" i="2"/>
  <c r="CL30" i="2"/>
  <c r="CL42" i="2"/>
  <c r="BE36" i="2"/>
  <c r="CL38" i="2"/>
  <c r="CM10" i="2"/>
  <c r="CP8" i="2"/>
  <c r="BE37" i="2"/>
  <c r="BE38" i="2"/>
  <c r="BE41" i="2"/>
  <c r="CP39" i="2"/>
  <c r="BF51" i="2"/>
  <c r="BE46" i="2"/>
  <c r="BF47" i="2"/>
  <c r="BE47" i="2"/>
  <c r="BE45" i="2"/>
  <c r="BF44" i="2"/>
  <c r="BF46" i="2"/>
  <c r="BF36" i="2"/>
  <c r="BF37" i="2"/>
  <c r="BF38" i="2"/>
  <c r="BF39" i="2"/>
  <c r="CM35" i="2"/>
  <c r="CP32" i="2"/>
  <c r="CM19" i="2"/>
  <c r="CP18" i="2"/>
  <c r="BF42" i="2"/>
  <c r="BF41" i="2"/>
  <c r="CL46" i="2"/>
  <c r="BF45" i="2"/>
  <c r="CM22" i="2"/>
  <c r="CP23" i="2"/>
  <c r="BE40" i="2"/>
  <c r="BE42" i="2"/>
  <c r="BE43" i="2"/>
  <c r="BF40" i="2"/>
  <c r="BF43" i="2"/>
  <c r="CL50" i="2"/>
  <c r="CL11" i="2"/>
  <c r="CL34" i="2"/>
  <c r="CL10" i="2"/>
  <c r="CM15" i="2"/>
  <c r="CL26" i="2"/>
  <c r="CL18" i="2"/>
  <c r="CL35" i="2"/>
  <c r="CL23" i="2"/>
  <c r="CL14" i="2"/>
  <c r="CP5" i="2"/>
  <c r="BE4" i="2"/>
  <c r="BE13" i="2"/>
  <c r="CP6" i="2"/>
  <c r="CP4" i="2"/>
  <c r="CP7" i="2"/>
  <c r="BE20" i="2"/>
  <c r="BE18" i="2"/>
  <c r="BE19" i="2"/>
  <c r="BF18" i="2"/>
  <c r="BE16" i="2"/>
  <c r="BE31" i="2"/>
  <c r="BE11" i="2"/>
  <c r="BF17" i="2"/>
  <c r="BE34" i="2"/>
  <c r="BE24" i="2"/>
  <c r="BF16" i="2"/>
  <c r="BF19" i="2"/>
  <c r="BE17" i="2"/>
  <c r="BE21" i="2"/>
  <c r="BE8" i="2"/>
  <c r="BF7" i="2"/>
  <c r="BF32" i="2"/>
  <c r="BE33" i="2"/>
  <c r="BF31" i="2"/>
  <c r="BF9" i="2"/>
  <c r="BE28" i="2"/>
  <c r="BF8" i="2"/>
  <c r="BE9" i="2"/>
  <c r="BF4" i="2"/>
  <c r="BF27" i="2"/>
  <c r="BF20" i="2"/>
  <c r="BE26" i="2"/>
  <c r="BF12" i="2"/>
  <c r="BF34" i="2"/>
  <c r="BF35" i="2"/>
  <c r="BE35" i="2"/>
  <c r="BF5" i="2"/>
  <c r="BF13" i="2"/>
  <c r="BE22" i="2"/>
  <c r="BF30" i="2"/>
  <c r="BE5" i="2"/>
  <c r="BF26" i="2"/>
  <c r="BE6" i="2"/>
  <c r="BE29" i="2"/>
  <c r="BF29" i="2"/>
  <c r="BF6" i="2"/>
  <c r="BE10" i="2"/>
  <c r="BE7" i="2"/>
  <c r="BF11" i="2"/>
  <c r="BF10" i="2"/>
  <c r="BE27" i="2"/>
  <c r="BF15" i="2"/>
  <c r="BE14" i="2"/>
  <c r="BE15" i="2"/>
  <c r="BF33" i="2"/>
  <c r="BF14" i="2"/>
  <c r="BF28" i="2"/>
  <c r="BE32" i="2"/>
  <c r="BE12" i="2"/>
  <c r="BF22" i="2"/>
  <c r="BF21" i="2"/>
  <c r="BF23" i="2"/>
  <c r="BE23" i="2"/>
  <c r="BE30" i="2"/>
  <c r="BF24" i="2"/>
  <c r="BF25" i="2"/>
  <c r="BE25" i="2"/>
  <c r="CP9" i="2"/>
  <c r="CP37" i="2"/>
  <c r="CP38" i="2"/>
  <c r="CR39" i="2"/>
  <c r="CR4" i="2"/>
  <c r="CR45" i="2"/>
  <c r="CR46" i="2"/>
  <c r="CP29" i="2"/>
  <c r="CR5" i="2"/>
  <c r="CP28" i="2"/>
  <c r="CP31" i="2"/>
  <c r="CR37" i="2"/>
  <c r="CP46" i="2"/>
  <c r="CR43" i="2"/>
  <c r="CP45" i="2"/>
  <c r="CP47" i="2"/>
  <c r="CP26" i="2"/>
  <c r="CP27" i="2"/>
  <c r="CP25" i="2"/>
  <c r="CR24" i="2"/>
  <c r="CP14" i="2"/>
  <c r="CR42" i="2"/>
  <c r="CP44" i="2"/>
  <c r="CP42" i="2"/>
  <c r="CP41" i="2"/>
  <c r="CP40" i="2"/>
  <c r="CR6" i="2"/>
  <c r="CR36" i="2"/>
  <c r="CR7" i="2"/>
  <c r="CR38" i="2"/>
  <c r="CR48" i="2"/>
  <c r="CR29" i="2"/>
  <c r="CP10" i="2"/>
  <c r="CR31" i="2"/>
  <c r="CR30" i="2"/>
  <c r="BJ38" i="2"/>
  <c r="CR28" i="2"/>
  <c r="CP33" i="2"/>
  <c r="CR40" i="2"/>
  <c r="CR41" i="2"/>
  <c r="BH39" i="2"/>
  <c r="BG49" i="2"/>
  <c r="BI50" i="2"/>
  <c r="CR21" i="2"/>
  <c r="BJ51" i="2"/>
  <c r="BH48" i="2"/>
  <c r="BI49" i="2"/>
  <c r="BI48" i="2"/>
  <c r="BH50" i="2"/>
  <c r="BI51" i="2"/>
  <c r="BH51" i="2"/>
  <c r="BG51" i="2"/>
  <c r="BJ48" i="2"/>
  <c r="BG48" i="2"/>
  <c r="BG50" i="2"/>
  <c r="BJ50" i="2"/>
  <c r="BH49" i="2"/>
  <c r="BJ49" i="2"/>
  <c r="CP11" i="2"/>
  <c r="CP16" i="2"/>
  <c r="CP17" i="2"/>
  <c r="BH47" i="2"/>
  <c r="BG39" i="2"/>
  <c r="CP21" i="2"/>
  <c r="BG37" i="2"/>
  <c r="BH36" i="2"/>
  <c r="BJ36" i="2"/>
  <c r="CP22" i="2"/>
  <c r="BJ39" i="2"/>
  <c r="BI39" i="2"/>
  <c r="BH38" i="2"/>
  <c r="BH37" i="2"/>
  <c r="BJ44" i="2"/>
  <c r="BG38" i="2"/>
  <c r="BJ37" i="2"/>
  <c r="BI37" i="2"/>
  <c r="BI36" i="2"/>
  <c r="BI38" i="2"/>
  <c r="BG36" i="2"/>
  <c r="BI45" i="2"/>
  <c r="BH46" i="2"/>
  <c r="CP19" i="2"/>
  <c r="CR17" i="2"/>
  <c r="BH45" i="2"/>
  <c r="BI47" i="2"/>
  <c r="BG44" i="2"/>
  <c r="BJ47" i="2"/>
  <c r="BI44" i="2"/>
  <c r="BJ46" i="2"/>
  <c r="BI46" i="2"/>
  <c r="BG45" i="2"/>
  <c r="BJ45" i="2"/>
  <c r="BG46" i="2"/>
  <c r="BG47" i="2"/>
  <c r="BH44" i="2"/>
  <c r="CR10" i="2"/>
  <c r="CP35" i="2"/>
  <c r="CR47" i="2"/>
  <c r="CP34" i="2"/>
  <c r="CR44" i="2"/>
  <c r="CP20" i="2"/>
  <c r="BJ40" i="2"/>
  <c r="BG40" i="2"/>
  <c r="BJ43" i="2"/>
  <c r="BH43" i="2"/>
  <c r="BI43" i="2"/>
  <c r="BI42" i="2"/>
  <c r="BG43" i="2"/>
  <c r="BH42" i="2"/>
  <c r="BG42" i="2"/>
  <c r="BJ42" i="2"/>
  <c r="BG41" i="2"/>
  <c r="BI41" i="2"/>
  <c r="BH41" i="2"/>
  <c r="BH40" i="2"/>
  <c r="BJ41" i="2"/>
  <c r="BI40" i="2"/>
  <c r="CR51" i="2"/>
  <c r="CR49" i="2"/>
  <c r="CR50" i="2"/>
  <c r="CR11" i="2"/>
  <c r="CR8" i="2"/>
  <c r="CR18" i="2"/>
  <c r="CR32" i="2"/>
  <c r="CR9" i="2"/>
  <c r="CP12" i="2"/>
  <c r="CR25" i="2"/>
  <c r="CR19" i="2"/>
  <c r="CR16" i="2"/>
  <c r="CP13" i="2"/>
  <c r="CP15" i="2"/>
  <c r="CR12" i="2"/>
  <c r="CR35" i="2"/>
  <c r="CR33" i="2"/>
  <c r="CR34" i="2"/>
  <c r="CR26" i="2"/>
  <c r="CR14" i="2"/>
  <c r="CR20" i="2"/>
  <c r="CR27" i="2"/>
  <c r="CR22" i="2"/>
  <c r="CR23" i="2"/>
  <c r="CR13" i="2"/>
  <c r="CR15" i="2"/>
  <c r="BJ10" i="2"/>
  <c r="BJ17" i="2"/>
  <c r="BJ35" i="2"/>
  <c r="BI16" i="2"/>
  <c r="BI20" i="2"/>
  <c r="BI18" i="2"/>
  <c r="BI35" i="2"/>
  <c r="BH17" i="2"/>
  <c r="BH11" i="2"/>
  <c r="BJ18" i="2"/>
  <c r="BJ19" i="2"/>
  <c r="BJ16" i="2"/>
  <c r="BG35" i="2"/>
  <c r="BG8" i="2"/>
  <c r="BH19" i="2"/>
  <c r="BG17" i="2"/>
  <c r="BG16" i="2"/>
  <c r="BG19" i="2"/>
  <c r="BI33" i="2"/>
  <c r="BH18" i="2"/>
  <c r="BH16" i="2"/>
  <c r="BI19" i="2"/>
  <c r="BI17" i="2"/>
  <c r="BG18" i="2"/>
  <c r="BH32" i="2"/>
  <c r="BG33" i="2"/>
  <c r="BH29" i="2"/>
  <c r="BJ34" i="2"/>
  <c r="BH35" i="2"/>
  <c r="BJ32" i="2"/>
  <c r="BG32" i="2"/>
  <c r="BH33" i="2"/>
  <c r="BH34" i="2"/>
  <c r="BG13" i="2"/>
  <c r="BJ8" i="2"/>
  <c r="BH10" i="2"/>
  <c r="BI32" i="2"/>
  <c r="BI8" i="2"/>
  <c r="BG10" i="2"/>
  <c r="BH8" i="2"/>
  <c r="BJ33" i="2"/>
  <c r="BH9" i="2"/>
  <c r="BG11" i="2"/>
  <c r="BG25" i="2"/>
  <c r="BG29" i="2"/>
  <c r="BG7" i="2"/>
  <c r="BJ20" i="2"/>
  <c r="BG31" i="2"/>
  <c r="BH20" i="2"/>
  <c r="BI10" i="2"/>
  <c r="BI11" i="2"/>
  <c r="BH24" i="2"/>
  <c r="BI9" i="2"/>
  <c r="BG20" i="2"/>
  <c r="BG14" i="2"/>
  <c r="BG6" i="2"/>
  <c r="BJ7" i="2"/>
  <c r="BH6" i="2"/>
  <c r="BI6" i="2"/>
  <c r="BI7" i="2"/>
  <c r="BH22" i="2"/>
  <c r="BJ9" i="2"/>
  <c r="BJ23" i="2"/>
  <c r="BG9" i="2"/>
  <c r="BJ11" i="2"/>
  <c r="BH13" i="2"/>
  <c r="BH27" i="2"/>
  <c r="BG4" i="2"/>
  <c r="BH31" i="2"/>
  <c r="BI4" i="2"/>
  <c r="BI25" i="2"/>
  <c r="BG23" i="2"/>
  <c r="BG27" i="2"/>
  <c r="BG22" i="2"/>
  <c r="BI5" i="2"/>
  <c r="BH26" i="2"/>
  <c r="BJ6" i="2"/>
  <c r="BJ27" i="2"/>
  <c r="BI29" i="2"/>
  <c r="BJ31" i="2"/>
  <c r="BJ28" i="2"/>
  <c r="BH7" i="2"/>
  <c r="BG5" i="2"/>
  <c r="BH5" i="2"/>
  <c r="BH4" i="2"/>
  <c r="BJ21" i="2"/>
  <c r="BI23" i="2"/>
  <c r="BH21" i="2"/>
  <c r="BG26" i="2"/>
  <c r="BH23" i="2"/>
  <c r="BJ5" i="2"/>
  <c r="BG12" i="2"/>
  <c r="BJ29" i="2"/>
  <c r="BH28" i="2"/>
  <c r="BJ4" i="2"/>
  <c r="BJ26" i="2"/>
  <c r="BI21" i="2"/>
  <c r="BJ22" i="2"/>
  <c r="BI22" i="2"/>
  <c r="BG21" i="2"/>
  <c r="BJ24" i="2"/>
  <c r="BI26" i="2"/>
  <c r="BI14" i="2"/>
  <c r="BH14" i="2"/>
  <c r="BI12" i="2"/>
  <c r="BJ12" i="2"/>
  <c r="BJ14" i="2"/>
  <c r="BJ13" i="2"/>
  <c r="BI13" i="2"/>
  <c r="BH12" i="2"/>
  <c r="BI15" i="2"/>
  <c r="BG34" i="2"/>
  <c r="BI34" i="2"/>
  <c r="BH15" i="2"/>
  <c r="BG15" i="2"/>
  <c r="BJ15" i="2"/>
  <c r="BG30" i="2"/>
  <c r="BI30" i="2"/>
  <c r="BI31" i="2"/>
  <c r="BJ25" i="2"/>
  <c r="BI27" i="2"/>
  <c r="BI28" i="2"/>
  <c r="BJ30" i="2"/>
  <c r="BH30" i="2"/>
  <c r="BG28" i="2"/>
  <c r="BI24" i="2"/>
  <c r="BG24" i="2"/>
  <c r="BH25" i="2"/>
  <c r="CS4" i="2"/>
  <c r="CS38" i="2"/>
  <c r="CS36" i="2"/>
  <c r="CT36" i="2"/>
  <c r="CS42" i="2"/>
  <c r="CS28" i="2"/>
  <c r="CS6" i="2"/>
  <c r="CS5" i="2"/>
  <c r="CS7" i="2"/>
  <c r="CS43" i="2"/>
  <c r="CS29" i="2"/>
  <c r="CS30" i="2"/>
  <c r="CS39" i="2"/>
  <c r="CS37" i="2"/>
  <c r="CT39" i="2"/>
  <c r="CS31" i="2"/>
  <c r="CS40" i="2"/>
  <c r="CS41" i="2"/>
  <c r="BO49" i="2"/>
  <c r="BO46" i="2"/>
  <c r="BO44" i="2"/>
  <c r="DF44" i="2"/>
  <c r="DH44" i="2"/>
  <c r="BO47" i="2"/>
  <c r="BO48" i="2"/>
  <c r="DF48" i="2"/>
  <c r="DH48" i="2"/>
  <c r="BO51" i="2"/>
  <c r="BO50" i="2"/>
  <c r="BO39" i="2"/>
  <c r="BO38" i="2"/>
  <c r="BO37" i="2"/>
  <c r="BO36" i="2"/>
  <c r="BO43" i="2"/>
  <c r="BO42" i="2"/>
  <c r="CS45" i="2"/>
  <c r="CS47" i="2"/>
  <c r="CT46" i="2"/>
  <c r="BO45" i="2"/>
  <c r="CS46" i="2"/>
  <c r="CS44" i="2"/>
  <c r="CS50" i="2"/>
  <c r="CS49" i="2"/>
  <c r="CS51" i="2"/>
  <c r="CT51" i="2"/>
  <c r="BO40" i="2"/>
  <c r="BO41" i="2"/>
  <c r="CS48" i="2"/>
  <c r="CT48" i="2"/>
  <c r="CT50" i="2"/>
  <c r="CT49" i="2"/>
  <c r="CU51" i="2"/>
  <c r="CU50" i="2"/>
  <c r="CT44" i="2"/>
  <c r="CT47" i="2"/>
  <c r="CT41" i="2"/>
  <c r="CT40" i="2"/>
  <c r="CT37" i="2"/>
  <c r="CU36" i="2"/>
  <c r="CU37" i="2"/>
  <c r="CT45" i="2"/>
  <c r="CS9" i="2"/>
  <c r="CS10" i="2"/>
  <c r="CS8" i="2"/>
  <c r="CS11" i="2"/>
  <c r="CS19" i="2"/>
  <c r="CS17" i="2"/>
  <c r="CS16" i="2"/>
  <c r="CS18" i="2"/>
  <c r="CS35" i="2"/>
  <c r="CS32" i="2"/>
  <c r="CS33" i="2"/>
  <c r="CS20" i="2"/>
  <c r="CS34" i="2"/>
  <c r="CS25" i="2"/>
  <c r="CS27" i="2"/>
  <c r="CS21" i="2"/>
  <c r="CS13" i="2"/>
  <c r="CS24" i="2"/>
  <c r="CS26" i="2"/>
  <c r="CS22" i="2"/>
  <c r="CS23" i="2"/>
  <c r="CS14" i="2"/>
  <c r="CS15" i="2"/>
  <c r="CS12" i="2"/>
  <c r="CT7" i="2"/>
  <c r="CT6" i="2"/>
  <c r="BO17" i="2"/>
  <c r="BO19" i="2"/>
  <c r="BO32" i="2"/>
  <c r="BO18" i="2"/>
  <c r="BO16" i="2"/>
  <c r="BO35" i="2"/>
  <c r="BO33" i="2"/>
  <c r="BO29" i="2"/>
  <c r="BO6" i="2"/>
  <c r="BO11" i="2"/>
  <c r="BO20" i="2"/>
  <c r="BO10" i="2"/>
  <c r="BO8" i="2"/>
  <c r="BO34" i="2"/>
  <c r="BO13" i="2"/>
  <c r="BO26" i="2"/>
  <c r="BO9" i="2"/>
  <c r="BO22" i="2"/>
  <c r="BO7" i="2"/>
  <c r="BO5" i="2"/>
  <c r="BO4" i="2"/>
  <c r="BO21" i="2"/>
  <c r="BO28" i="2"/>
  <c r="BO31" i="2"/>
  <c r="BO12" i="2"/>
  <c r="BO23" i="2"/>
  <c r="BO27" i="2"/>
  <c r="BO24" i="2"/>
  <c r="BO30" i="2"/>
  <c r="BO25" i="2"/>
  <c r="BO15" i="2"/>
  <c r="BO14" i="2"/>
  <c r="CT31" i="2"/>
  <c r="CT38" i="2"/>
  <c r="CU38" i="2"/>
  <c r="CT30" i="2"/>
  <c r="CT42" i="2"/>
  <c r="CT43" i="2"/>
  <c r="CU43" i="2"/>
  <c r="DF46" i="2"/>
  <c r="DH46" i="2"/>
  <c r="DF37" i="2"/>
  <c r="DH37" i="2"/>
  <c r="DF51" i="2"/>
  <c r="DH51" i="2"/>
  <c r="DF49" i="2"/>
  <c r="DH49" i="2"/>
  <c r="DF36" i="2"/>
  <c r="DH36" i="2"/>
  <c r="DF47" i="2"/>
  <c r="DH47" i="2"/>
  <c r="DF50" i="2"/>
  <c r="DH50" i="2"/>
  <c r="DF39" i="2"/>
  <c r="DF38" i="2"/>
  <c r="DF45" i="2"/>
  <c r="DH45" i="2"/>
  <c r="DF41" i="2"/>
  <c r="DH41" i="2"/>
  <c r="DF42" i="2"/>
  <c r="DF40" i="2"/>
  <c r="DH40" i="2"/>
  <c r="DF43" i="2"/>
  <c r="CU49" i="2"/>
  <c r="CU48" i="2"/>
  <c r="CU44" i="2"/>
  <c r="CU47" i="2"/>
  <c r="CU40" i="2"/>
  <c r="CU41" i="2"/>
  <c r="CU42" i="2"/>
  <c r="CU39" i="2"/>
  <c r="CU46" i="2"/>
  <c r="CU45" i="2"/>
  <c r="CT35" i="2"/>
  <c r="CU35" i="2"/>
  <c r="CT10" i="2"/>
  <c r="CT34" i="2"/>
  <c r="CT11" i="2"/>
  <c r="CU11" i="2"/>
  <c r="CT19" i="2"/>
  <c r="CT18" i="2"/>
  <c r="CU31" i="2"/>
  <c r="CT14" i="2"/>
  <c r="CT27" i="2"/>
  <c r="CT15" i="2"/>
  <c r="CT23" i="2"/>
  <c r="CT22" i="2"/>
  <c r="CT26" i="2"/>
  <c r="CU6" i="2"/>
  <c r="CU7" i="2"/>
  <c r="DF16" i="2"/>
  <c r="DF4" i="2"/>
  <c r="DH4" i="2"/>
  <c r="S9" i="1"/>
  <c r="S111" i="1"/>
  <c r="DF28" i="2"/>
  <c r="DF8" i="2"/>
  <c r="DF20" i="2"/>
  <c r="DF32" i="2"/>
  <c r="DH32" i="2"/>
  <c r="DF12" i="2"/>
  <c r="DF17" i="2"/>
  <c r="DF19" i="2"/>
  <c r="DH19" i="2"/>
  <c r="DF18" i="2"/>
  <c r="DH18" i="2"/>
  <c r="DF35" i="2"/>
  <c r="DH35" i="2"/>
  <c r="DF33" i="2"/>
  <c r="DH33" i="2"/>
  <c r="DF27" i="2"/>
  <c r="DH27" i="2"/>
  <c r="DF34" i="2"/>
  <c r="DH34" i="2"/>
  <c r="DF23" i="2"/>
  <c r="DH23" i="2"/>
  <c r="DF11" i="2"/>
  <c r="DH11" i="2"/>
  <c r="DF22" i="2"/>
  <c r="DH22" i="2"/>
  <c r="DF21" i="2"/>
  <c r="DF5" i="2"/>
  <c r="DH5" i="2"/>
  <c r="S10" i="1"/>
  <c r="DF10" i="2"/>
  <c r="DH10" i="2"/>
  <c r="DF9" i="2"/>
  <c r="DF29" i="2"/>
  <c r="DF30" i="2"/>
  <c r="DF6" i="2"/>
  <c r="DF13" i="2"/>
  <c r="DF7" i="2"/>
  <c r="DF14" i="2"/>
  <c r="DH14" i="2"/>
  <c r="DF31" i="2"/>
  <c r="DF15" i="2"/>
  <c r="DH15" i="2"/>
  <c r="DF26" i="2"/>
  <c r="DH26" i="2"/>
  <c r="DF24" i="2"/>
  <c r="DF25" i="2"/>
  <c r="CU30" i="2"/>
  <c r="DH13" i="2"/>
  <c r="S24" i="1"/>
  <c r="DH9" i="2"/>
  <c r="S17" i="1"/>
  <c r="DH16" i="2"/>
  <c r="S30" i="1"/>
  <c r="DH25" i="2"/>
  <c r="S45" i="1"/>
  <c r="DH17" i="2"/>
  <c r="S31" i="1"/>
  <c r="DH8" i="2"/>
  <c r="S16" i="1"/>
  <c r="DH24" i="2"/>
  <c r="S44" i="1"/>
  <c r="DH12" i="2"/>
  <c r="S23" i="1"/>
  <c r="DH29" i="2"/>
  <c r="S52" i="1"/>
  <c r="DH21" i="2"/>
  <c r="S38" i="1"/>
  <c r="DH20" i="2"/>
  <c r="S37" i="1"/>
  <c r="DH28" i="2"/>
  <c r="S51" i="1"/>
  <c r="CU14" i="2"/>
  <c r="CU10" i="2"/>
  <c r="CV9" i="2"/>
  <c r="CU19" i="2"/>
  <c r="X111" i="1"/>
  <c r="T111" i="1"/>
  <c r="CV45" i="2"/>
  <c r="CV39" i="2"/>
  <c r="DA39" i="2"/>
  <c r="CV37" i="2"/>
  <c r="DA37" i="2"/>
  <c r="CV41" i="2"/>
  <c r="CV48" i="2"/>
  <c r="DA48" i="2"/>
  <c r="CV51" i="2"/>
  <c r="DA51" i="2"/>
  <c r="CV49" i="2"/>
  <c r="DA49" i="2"/>
  <c r="S88" i="1"/>
  <c r="CV50" i="2"/>
  <c r="DA50" i="2"/>
  <c r="CV47" i="2"/>
  <c r="DA47" i="2"/>
  <c r="CV46" i="2"/>
  <c r="DA46" i="2"/>
  <c r="CV44" i="2"/>
  <c r="DA44" i="2"/>
  <c r="S80" i="1"/>
  <c r="S141" i="1"/>
  <c r="DA45" i="2"/>
  <c r="DA41" i="2"/>
  <c r="CV40" i="2"/>
  <c r="DA40" i="2"/>
  <c r="S73" i="1"/>
  <c r="S140" i="1"/>
  <c r="CV42" i="2"/>
  <c r="DA42" i="2"/>
  <c r="CV43" i="2"/>
  <c r="DA43" i="2"/>
  <c r="CV38" i="2"/>
  <c r="DA38" i="2"/>
  <c r="CV36" i="2"/>
  <c r="DA36" i="2"/>
  <c r="S66" i="1"/>
  <c r="S139" i="1"/>
  <c r="CU34" i="2"/>
  <c r="CV33" i="2"/>
  <c r="CU18" i="2"/>
  <c r="S59" i="1"/>
  <c r="S138" i="1"/>
  <c r="S58" i="1"/>
  <c r="V58" i="1"/>
  <c r="CV34" i="2"/>
  <c r="DA34" i="2"/>
  <c r="CU26" i="2"/>
  <c r="CU15" i="2"/>
  <c r="CU23" i="2"/>
  <c r="CV30" i="2"/>
  <c r="DA30" i="2"/>
  <c r="CV29" i="2"/>
  <c r="CV28" i="2"/>
  <c r="CV31" i="2"/>
  <c r="DA31" i="2"/>
  <c r="CU27" i="2"/>
  <c r="CU22" i="2"/>
  <c r="CV4" i="2"/>
  <c r="CV7" i="2"/>
  <c r="DA7" i="2"/>
  <c r="CV6" i="2"/>
  <c r="DA6" i="2"/>
  <c r="CV5" i="2"/>
  <c r="W9" i="1"/>
  <c r="U9" i="1"/>
  <c r="V9" i="1"/>
  <c r="X9" i="1"/>
  <c r="W10" i="1"/>
  <c r="S131" i="1"/>
  <c r="U10" i="1"/>
  <c r="X10" i="1"/>
  <c r="V10" i="1"/>
  <c r="DH38" i="2"/>
  <c r="DH39" i="2"/>
  <c r="S68" i="1"/>
  <c r="X45" i="1"/>
  <c r="U45" i="1"/>
  <c r="S113" i="1"/>
  <c r="X113" i="1"/>
  <c r="W23" i="1"/>
  <c r="X23" i="1"/>
  <c r="U23" i="1"/>
  <c r="V23" i="1"/>
  <c r="CV8" i="2"/>
  <c r="CV10" i="2"/>
  <c r="DA10" i="2"/>
  <c r="CV11" i="2"/>
  <c r="DA11" i="2"/>
  <c r="V45" i="1"/>
  <c r="S136" i="1"/>
  <c r="T136" i="1"/>
  <c r="W45" i="1"/>
  <c r="CV13" i="2"/>
  <c r="V16" i="1"/>
  <c r="X16" i="1"/>
  <c r="U16" i="1"/>
  <c r="S112" i="1"/>
  <c r="X112" i="1"/>
  <c r="Z17" i="15"/>
  <c r="N17" i="15"/>
  <c r="W16" i="1"/>
  <c r="X44" i="1"/>
  <c r="S116" i="1"/>
  <c r="T116" i="1"/>
  <c r="W44" i="1"/>
  <c r="U44" i="1"/>
  <c r="V44" i="1"/>
  <c r="X30" i="1"/>
  <c r="S114" i="1"/>
  <c r="U30" i="1"/>
  <c r="V30" i="1"/>
  <c r="W30" i="1"/>
  <c r="W31" i="1"/>
  <c r="U31" i="1"/>
  <c r="X31" i="1"/>
  <c r="S134" i="1"/>
  <c r="X134" i="1"/>
  <c r="H35" i="15"/>
  <c r="V31" i="1"/>
  <c r="W17" i="1"/>
  <c r="V17" i="1"/>
  <c r="U17" i="1"/>
  <c r="X17" i="1"/>
  <c r="S132" i="1"/>
  <c r="T132" i="1"/>
  <c r="W24" i="1"/>
  <c r="S133" i="1"/>
  <c r="T133" i="1"/>
  <c r="U24" i="1"/>
  <c r="X24" i="1"/>
  <c r="V24" i="1"/>
  <c r="W51" i="1"/>
  <c r="U51" i="1"/>
  <c r="V51" i="1"/>
  <c r="S117" i="1"/>
  <c r="T117" i="1"/>
  <c r="X51" i="1"/>
  <c r="S115" i="1"/>
  <c r="W37" i="1"/>
  <c r="X37" i="1"/>
  <c r="V37" i="1"/>
  <c r="U37" i="1"/>
  <c r="V38" i="1"/>
  <c r="X38" i="1"/>
  <c r="W38" i="1"/>
  <c r="U38" i="1"/>
  <c r="S135" i="1"/>
  <c r="T135" i="1"/>
  <c r="V52" i="1"/>
  <c r="S137" i="1"/>
  <c r="X137" i="1"/>
  <c r="H62" i="15"/>
  <c r="X52" i="1"/>
  <c r="W52" i="1"/>
  <c r="U52" i="1"/>
  <c r="DH30" i="2"/>
  <c r="S53" i="1"/>
  <c r="V53" i="1"/>
  <c r="DH31" i="2"/>
  <c r="DH42" i="2"/>
  <c r="S74" i="1"/>
  <c r="DH43" i="2"/>
  <c r="S75" i="1"/>
  <c r="CV18" i="2"/>
  <c r="DA18" i="2"/>
  <c r="CV32" i="2"/>
  <c r="CV35" i="2"/>
  <c r="DA35" i="2"/>
  <c r="W59" i="1"/>
  <c r="V59" i="1"/>
  <c r="X59" i="1"/>
  <c r="U59" i="1"/>
  <c r="CV14" i="2"/>
  <c r="DA14" i="2"/>
  <c r="CV12" i="2"/>
  <c r="X58" i="1"/>
  <c r="T141" i="1"/>
  <c r="X141" i="1"/>
  <c r="H98" i="15"/>
  <c r="T131" i="1"/>
  <c r="X131" i="1"/>
  <c r="H8" i="15"/>
  <c r="T139" i="1"/>
  <c r="X139" i="1"/>
  <c r="H80" i="15"/>
  <c r="T140" i="1"/>
  <c r="X140" i="1"/>
  <c r="H89" i="15"/>
  <c r="T138" i="1"/>
  <c r="X138" i="1"/>
  <c r="H71" i="15"/>
  <c r="CV15" i="2"/>
  <c r="DA15" i="2"/>
  <c r="CV16" i="2"/>
  <c r="CV17" i="2"/>
  <c r="Z8" i="15"/>
  <c r="Z26" i="15"/>
  <c r="V66" i="1"/>
  <c r="W66" i="1"/>
  <c r="U66" i="1"/>
  <c r="X66" i="1"/>
  <c r="X73" i="1"/>
  <c r="U73" i="1"/>
  <c r="V73" i="1"/>
  <c r="W73" i="1"/>
  <c r="CV19" i="2"/>
  <c r="DA19" i="2"/>
  <c r="S33" i="1"/>
  <c r="X80" i="1"/>
  <c r="V80" i="1"/>
  <c r="U80" i="1"/>
  <c r="W80" i="1"/>
  <c r="X88" i="1"/>
  <c r="U88" i="1"/>
  <c r="W88" i="1"/>
  <c r="V88" i="1"/>
  <c r="S87" i="1"/>
  <c r="S142" i="1"/>
  <c r="S86" i="1"/>
  <c r="S122" i="1"/>
  <c r="S89" i="1"/>
  <c r="S79" i="1"/>
  <c r="S121" i="1"/>
  <c r="S82" i="1"/>
  <c r="S81" i="1"/>
  <c r="S72" i="1"/>
  <c r="S120" i="1"/>
  <c r="S65" i="1"/>
  <c r="S119" i="1"/>
  <c r="S67" i="1"/>
  <c r="W58" i="1"/>
  <c r="U58" i="1"/>
  <c r="Y58" i="1"/>
  <c r="S118" i="1"/>
  <c r="CV24" i="2"/>
  <c r="CV26" i="2"/>
  <c r="DA26" i="2"/>
  <c r="CV25" i="2"/>
  <c r="S54" i="1"/>
  <c r="S18" i="1"/>
  <c r="S19" i="1"/>
  <c r="W19" i="1"/>
  <c r="S32" i="1"/>
  <c r="CV27" i="2"/>
  <c r="DA27" i="2"/>
  <c r="CV22" i="2"/>
  <c r="DA22" i="2"/>
  <c r="CV21" i="2"/>
  <c r="CV20" i="2"/>
  <c r="CV23" i="2"/>
  <c r="DA23" i="2"/>
  <c r="DH6" i="2"/>
  <c r="S11" i="1"/>
  <c r="DH7" i="2"/>
  <c r="S12" i="1"/>
  <c r="T9" i="1"/>
  <c r="Y9" i="1"/>
  <c r="T10" i="1"/>
  <c r="Y10" i="1"/>
  <c r="W68" i="1"/>
  <c r="X68" i="1"/>
  <c r="U68" i="1"/>
  <c r="V68" i="1"/>
  <c r="Y30" i="1"/>
  <c r="Y44" i="1"/>
  <c r="Y52" i="1"/>
  <c r="Y45" i="1"/>
  <c r="T134" i="1"/>
  <c r="X133" i="1"/>
  <c r="H26" i="15"/>
  <c r="F30" i="15"/>
  <c r="X116" i="1"/>
  <c r="Z53" i="15"/>
  <c r="T58" i="15"/>
  <c r="T17" i="1"/>
  <c r="X132" i="1"/>
  <c r="H17" i="15"/>
  <c r="F21" i="15"/>
  <c r="T52" i="1"/>
  <c r="Y51" i="1"/>
  <c r="Y37" i="1"/>
  <c r="Y31" i="1"/>
  <c r="T113" i="1"/>
  <c r="Y16" i="1"/>
  <c r="T45" i="1"/>
  <c r="Y17" i="1"/>
  <c r="X136" i="1"/>
  <c r="H53" i="15"/>
  <c r="N58" i="15"/>
  <c r="X135" i="1"/>
  <c r="H44" i="15"/>
  <c r="F48" i="15"/>
  <c r="T38" i="1"/>
  <c r="T51" i="1"/>
  <c r="T24" i="1"/>
  <c r="T44" i="1"/>
  <c r="Y23" i="1"/>
  <c r="T30" i="1"/>
  <c r="T112" i="1"/>
  <c r="T23" i="1"/>
  <c r="T137" i="1"/>
  <c r="Y24" i="1"/>
  <c r="T37" i="1"/>
  <c r="T31" i="1"/>
  <c r="T16" i="1"/>
  <c r="X117" i="1"/>
  <c r="Z62" i="15"/>
  <c r="AE65" i="15"/>
  <c r="T114" i="1"/>
  <c r="X114" i="1"/>
  <c r="Z35" i="15"/>
  <c r="Y38" i="1"/>
  <c r="X115" i="1"/>
  <c r="Z44" i="15"/>
  <c r="T115" i="1"/>
  <c r="Y59" i="1"/>
  <c r="T59" i="1"/>
  <c r="S26" i="1"/>
  <c r="X26" i="1"/>
  <c r="S25" i="1"/>
  <c r="X25" i="1"/>
  <c r="Y73" i="1"/>
  <c r="F38" i="15"/>
  <c r="F39" i="15"/>
  <c r="F66" i="15"/>
  <c r="F65" i="15"/>
  <c r="F92" i="15"/>
  <c r="F93" i="15"/>
  <c r="T89" i="15"/>
  <c r="N94" i="15"/>
  <c r="F12" i="15"/>
  <c r="F11" i="15"/>
  <c r="F102" i="15"/>
  <c r="F101" i="15"/>
  <c r="T142" i="1"/>
  <c r="X142" i="1"/>
  <c r="H107" i="15"/>
  <c r="F74" i="15"/>
  <c r="F75" i="15"/>
  <c r="F84" i="15"/>
  <c r="F83" i="15"/>
  <c r="T80" i="15"/>
  <c r="N85" i="15"/>
  <c r="T22" i="15"/>
  <c r="AE21" i="15"/>
  <c r="AE20" i="15"/>
  <c r="AE29" i="15"/>
  <c r="AE30" i="15"/>
  <c r="AE11" i="15"/>
  <c r="AE12" i="15"/>
  <c r="T120" i="1"/>
  <c r="X120" i="1"/>
  <c r="Z89" i="15"/>
  <c r="X121" i="1"/>
  <c r="T121" i="1"/>
  <c r="N26" i="15"/>
  <c r="N8" i="15"/>
  <c r="T13" i="15"/>
  <c r="X118" i="1"/>
  <c r="Z71" i="15"/>
  <c r="N71" i="15"/>
  <c r="T118" i="1"/>
  <c r="T119" i="1"/>
  <c r="X119" i="1"/>
  <c r="Z80" i="15"/>
  <c r="X122" i="1"/>
  <c r="T122" i="1"/>
  <c r="T31" i="15"/>
  <c r="T73" i="1"/>
  <c r="T58" i="1"/>
  <c r="X67" i="1"/>
  <c r="U67" i="1"/>
  <c r="W67" i="1"/>
  <c r="V67" i="1"/>
  <c r="X75" i="1"/>
  <c r="U75" i="1"/>
  <c r="V75" i="1"/>
  <c r="W75" i="1"/>
  <c r="X89" i="1"/>
  <c r="V89" i="1"/>
  <c r="U89" i="1"/>
  <c r="W89" i="1"/>
  <c r="X65" i="1"/>
  <c r="V65" i="1"/>
  <c r="U65" i="1"/>
  <c r="W65" i="1"/>
  <c r="U81" i="1"/>
  <c r="V81" i="1"/>
  <c r="X81" i="1"/>
  <c r="W81" i="1"/>
  <c r="X86" i="1"/>
  <c r="V86" i="1"/>
  <c r="U86" i="1"/>
  <c r="W86" i="1"/>
  <c r="X74" i="1"/>
  <c r="U74" i="1"/>
  <c r="W74" i="1"/>
  <c r="V74" i="1"/>
  <c r="X82" i="1"/>
  <c r="U82" i="1"/>
  <c r="W82" i="1"/>
  <c r="V82" i="1"/>
  <c r="V87" i="1"/>
  <c r="W87" i="1"/>
  <c r="U87" i="1"/>
  <c r="X87" i="1"/>
  <c r="X72" i="1"/>
  <c r="U72" i="1"/>
  <c r="W72" i="1"/>
  <c r="V72" i="1"/>
  <c r="W79" i="1"/>
  <c r="U79" i="1"/>
  <c r="X79" i="1"/>
  <c r="V79" i="1"/>
  <c r="Y80" i="1"/>
  <c r="T80" i="1"/>
  <c r="S60" i="1"/>
  <c r="X60" i="1"/>
  <c r="Y66" i="1"/>
  <c r="T66" i="1"/>
  <c r="S61" i="1"/>
  <c r="X61" i="1"/>
  <c r="U53" i="1"/>
  <c r="Y53" i="1"/>
  <c r="U18" i="1"/>
  <c r="X18" i="1"/>
  <c r="V18" i="1"/>
  <c r="W18" i="1"/>
  <c r="X53" i="1"/>
  <c r="W53" i="1"/>
  <c r="X19" i="1"/>
  <c r="V19" i="1"/>
  <c r="U19" i="1"/>
  <c r="V54" i="1"/>
  <c r="X54" i="1"/>
  <c r="W54" i="1"/>
  <c r="U54" i="1"/>
  <c r="S47" i="1"/>
  <c r="S46" i="1"/>
  <c r="S40" i="1"/>
  <c r="S39" i="1"/>
  <c r="X32" i="1"/>
  <c r="U32" i="1"/>
  <c r="W32" i="1"/>
  <c r="V32" i="1"/>
  <c r="U33" i="1"/>
  <c r="V33" i="1"/>
  <c r="X33" i="1"/>
  <c r="W33" i="1"/>
  <c r="U12" i="1"/>
  <c r="V12" i="1"/>
  <c r="X12" i="1"/>
  <c r="W12" i="1"/>
  <c r="V11" i="1"/>
  <c r="X11" i="1"/>
  <c r="U11" i="1"/>
  <c r="W11" i="1"/>
  <c r="Z157" i="15"/>
  <c r="P57" i="15"/>
  <c r="N13" i="15"/>
  <c r="Z152" i="15"/>
  <c r="T8" i="15"/>
  <c r="F20" i="15"/>
  <c r="N31" i="15"/>
  <c r="Z154" i="15"/>
  <c r="F29" i="15"/>
  <c r="F56" i="15"/>
  <c r="T53" i="15"/>
  <c r="AE56" i="15"/>
  <c r="AE57" i="15"/>
  <c r="F57" i="15"/>
  <c r="U26" i="1"/>
  <c r="N49" i="15"/>
  <c r="F47" i="15"/>
  <c r="W26" i="1"/>
  <c r="AE66" i="15"/>
  <c r="T67" i="15"/>
  <c r="V26" i="1"/>
  <c r="AE38" i="15"/>
  <c r="AE39" i="15"/>
  <c r="AE47" i="15"/>
  <c r="AE48" i="15"/>
  <c r="W25" i="1"/>
  <c r="U25" i="1"/>
  <c r="V25" i="1"/>
  <c r="T86" i="1"/>
  <c r="W60" i="1"/>
  <c r="Y87" i="1"/>
  <c r="Y65" i="1"/>
  <c r="Y86" i="1"/>
  <c r="T87" i="1"/>
  <c r="V61" i="1"/>
  <c r="U60" i="1"/>
  <c r="V60" i="1"/>
  <c r="P93" i="15"/>
  <c r="Z161" i="15"/>
  <c r="F110" i="15"/>
  <c r="F111" i="15"/>
  <c r="P84" i="15"/>
  <c r="Z160" i="15"/>
  <c r="AE83" i="15"/>
  <c r="AE84" i="15"/>
  <c r="AE93" i="15"/>
  <c r="AE92" i="15"/>
  <c r="AE75" i="15"/>
  <c r="AE74" i="15"/>
  <c r="Y79" i="1"/>
  <c r="T85" i="15"/>
  <c r="N80" i="15"/>
  <c r="Z98" i="15"/>
  <c r="T94" i="15"/>
  <c r="N89" i="15"/>
  <c r="Z107" i="15"/>
  <c r="T76" i="15"/>
  <c r="U61" i="1"/>
  <c r="T65" i="1"/>
  <c r="W61" i="1"/>
  <c r="T79" i="1"/>
  <c r="T72" i="1"/>
  <c r="Y72" i="1"/>
  <c r="Y75" i="1"/>
  <c r="T75" i="1"/>
  <c r="T53" i="1"/>
  <c r="Y18" i="1"/>
  <c r="T18" i="1"/>
  <c r="Y54" i="1"/>
  <c r="T54" i="1"/>
  <c r="Y19" i="1"/>
  <c r="T19" i="1"/>
  <c r="U40" i="1"/>
  <c r="X40" i="1"/>
  <c r="V40" i="1"/>
  <c r="W40" i="1"/>
  <c r="W39" i="1"/>
  <c r="V39" i="1"/>
  <c r="U39" i="1"/>
  <c r="X39" i="1"/>
  <c r="Y33" i="1"/>
  <c r="Y32" i="1"/>
  <c r="T32" i="1"/>
  <c r="V46" i="1"/>
  <c r="X46" i="1"/>
  <c r="W46" i="1"/>
  <c r="U46" i="1"/>
  <c r="T33" i="1"/>
  <c r="V47" i="1"/>
  <c r="X47" i="1"/>
  <c r="U47" i="1"/>
  <c r="W47" i="1"/>
  <c r="Y11" i="1"/>
  <c r="T11" i="1"/>
  <c r="T12" i="1"/>
  <c r="Y12" i="1"/>
  <c r="N62" i="15"/>
  <c r="T62" i="15"/>
  <c r="N67" i="15"/>
  <c r="Z158" i="15"/>
  <c r="N53" i="15"/>
  <c r="T49" i="15"/>
  <c r="N44" i="15"/>
  <c r="T40" i="15"/>
  <c r="N35" i="15"/>
  <c r="P12" i="15"/>
  <c r="H346" i="15"/>
  <c r="Z156" i="15"/>
  <c r="P48" i="15"/>
  <c r="P30" i="15"/>
  <c r="T26" i="15"/>
  <c r="N76" i="15"/>
  <c r="T71" i="15"/>
  <c r="N22" i="15"/>
  <c r="Z153" i="15"/>
  <c r="N40" i="15"/>
  <c r="Z155" i="15"/>
  <c r="T17" i="15"/>
  <c r="T35" i="15"/>
  <c r="T44" i="15"/>
  <c r="Y26" i="1"/>
  <c r="T26" i="1"/>
  <c r="T25" i="1"/>
  <c r="Y25" i="1"/>
  <c r="Y61" i="1"/>
  <c r="P66" i="15"/>
  <c r="Y60" i="1"/>
  <c r="T60" i="1"/>
  <c r="AE111" i="15"/>
  <c r="AE110" i="15"/>
  <c r="AE101" i="15"/>
  <c r="AE102" i="15"/>
  <c r="T61" i="1"/>
  <c r="T112" i="15"/>
  <c r="N107" i="15"/>
  <c r="N112" i="15"/>
  <c r="T107" i="15"/>
  <c r="T98" i="15"/>
  <c r="N103" i="15"/>
  <c r="T103" i="15"/>
  <c r="N98" i="15"/>
  <c r="T74" i="1"/>
  <c r="Y74" i="1"/>
  <c r="Y89" i="1"/>
  <c r="T89" i="1"/>
  <c r="Y82" i="1"/>
  <c r="T82" i="1"/>
  <c r="T88" i="1"/>
  <c r="Y88" i="1"/>
  <c r="T81" i="1"/>
  <c r="Y81" i="1"/>
  <c r="T67" i="1"/>
  <c r="Y67" i="1"/>
  <c r="Y68" i="1"/>
  <c r="T68" i="1"/>
  <c r="Y40" i="1"/>
  <c r="Y47" i="1"/>
  <c r="T47" i="1"/>
  <c r="Y46" i="1"/>
  <c r="T46" i="1"/>
  <c r="Y39" i="1"/>
  <c r="T39" i="1"/>
  <c r="T40" i="1"/>
  <c r="P75" i="15"/>
  <c r="Z159" i="15"/>
  <c r="P39" i="15"/>
  <c r="P21" i="15"/>
  <c r="P102" i="15"/>
  <c r="Z162" i="15"/>
  <c r="P111" i="15"/>
  <c r="Z163" i="15"/>
</calcChain>
</file>

<file path=xl/sharedStrings.xml><?xml version="1.0" encoding="utf-8"?>
<sst xmlns="http://schemas.openxmlformats.org/spreadsheetml/2006/main" count="2212" uniqueCount="445">
  <si>
    <t>FIRST ROUND</t>
  </si>
  <si>
    <t>Date</t>
  </si>
  <si>
    <t>Time</t>
  </si>
  <si>
    <t xml:space="preserve">Score </t>
  </si>
  <si>
    <t>-</t>
  </si>
  <si>
    <t>France</t>
  </si>
  <si>
    <t>Group A</t>
  </si>
  <si>
    <t>W</t>
  </si>
  <si>
    <t>D</t>
  </si>
  <si>
    <t>L</t>
  </si>
  <si>
    <t>F - A</t>
  </si>
  <si>
    <t>Group B</t>
  </si>
  <si>
    <t>Group C</t>
  </si>
  <si>
    <t>Group D</t>
  </si>
  <si>
    <t>F</t>
  </si>
  <si>
    <t>A</t>
  </si>
  <si>
    <t>Match</t>
  </si>
  <si>
    <t>Country</t>
  </si>
  <si>
    <t>Language</t>
  </si>
  <si>
    <t>English</t>
  </si>
  <si>
    <t>SCHEDULES AND RESULTS</t>
  </si>
  <si>
    <t>STANDINGS</t>
  </si>
  <si>
    <t>SEMIFINAL</t>
  </si>
  <si>
    <t>FINAL</t>
  </si>
  <si>
    <t>:</t>
  </si>
  <si>
    <t>Spanish</t>
  </si>
  <si>
    <t>German</t>
  </si>
  <si>
    <t>Italian</t>
  </si>
  <si>
    <t>Portuguese</t>
  </si>
  <si>
    <t>Polish</t>
  </si>
  <si>
    <t>Lithuanian</t>
  </si>
  <si>
    <t>Hungarian</t>
  </si>
  <si>
    <t>Romanian</t>
  </si>
  <si>
    <t>Dutch</t>
  </si>
  <si>
    <t>Danish</t>
  </si>
  <si>
    <t>Maltese</t>
  </si>
  <si>
    <t>Slovenian</t>
  </si>
  <si>
    <t>Finnish</t>
  </si>
  <si>
    <t>Serbian</t>
  </si>
  <si>
    <t>Albanian</t>
  </si>
  <si>
    <t>Bulgarian</t>
  </si>
  <si>
    <t>Greek</t>
  </si>
  <si>
    <t>Russian</t>
  </si>
  <si>
    <t>Turkish</t>
  </si>
  <si>
    <t>Croatian</t>
  </si>
  <si>
    <t>Vietnamese</t>
  </si>
  <si>
    <t>Bahasa</t>
  </si>
  <si>
    <t>Malay</t>
  </si>
  <si>
    <t>Arabic</t>
  </si>
  <si>
    <t>Chinese</t>
  </si>
  <si>
    <t>Normal Time</t>
  </si>
  <si>
    <t>Extra Time</t>
  </si>
  <si>
    <t>Penalty Shoot Out</t>
  </si>
  <si>
    <t>P</t>
  </si>
  <si>
    <t>Pt</t>
  </si>
  <si>
    <t>Addis Ababa</t>
  </si>
  <si>
    <t>Adelaide</t>
  </si>
  <si>
    <t>Aden</t>
  </si>
  <si>
    <t>Algiers</t>
  </si>
  <si>
    <t>Almaty</t>
  </si>
  <si>
    <t xml:space="preserve">Amman </t>
  </si>
  <si>
    <t xml:space="preserve">Amsterdam </t>
  </si>
  <si>
    <t xml:space="preserve">Anadyr </t>
  </si>
  <si>
    <t xml:space="preserve">Anchorage </t>
  </si>
  <si>
    <t xml:space="preserve">Ankara </t>
  </si>
  <si>
    <t>Antananarivo</t>
  </si>
  <si>
    <t>Asuncion</t>
  </si>
  <si>
    <t xml:space="preserve">Athens </t>
  </si>
  <si>
    <t xml:space="preserve">Atlanta </t>
  </si>
  <si>
    <t>Auckland</t>
  </si>
  <si>
    <t>Baghdad</t>
  </si>
  <si>
    <t>Bangkok</t>
  </si>
  <si>
    <t xml:space="preserve">Barcelona </t>
  </si>
  <si>
    <t>Beijing</t>
  </si>
  <si>
    <t xml:space="preserve">Beirut </t>
  </si>
  <si>
    <t xml:space="preserve">Belgrade </t>
  </si>
  <si>
    <t xml:space="preserve">Berlin </t>
  </si>
  <si>
    <t>Bogota</t>
  </si>
  <si>
    <t xml:space="preserve">Boston </t>
  </si>
  <si>
    <t>Brasilia</t>
  </si>
  <si>
    <t>Brisbane</t>
  </si>
  <si>
    <t xml:space="preserve">Brussels </t>
  </si>
  <si>
    <t xml:space="preserve">Bucharest </t>
  </si>
  <si>
    <t xml:space="preserve">Budapest </t>
  </si>
  <si>
    <t>Buenos Aires</t>
  </si>
  <si>
    <t>Cairo</t>
  </si>
  <si>
    <t>Canberra</t>
  </si>
  <si>
    <t>Cape Town</t>
  </si>
  <si>
    <t>Caracas</t>
  </si>
  <si>
    <t>Casablanca</t>
  </si>
  <si>
    <t xml:space="preserve">Chicago </t>
  </si>
  <si>
    <t xml:space="preserve">Copenhagen </t>
  </si>
  <si>
    <t>Darwin</t>
  </si>
  <si>
    <t xml:space="preserve">Denver </t>
  </si>
  <si>
    <t xml:space="preserve">Detroit </t>
  </si>
  <si>
    <t>Dhaka</t>
  </si>
  <si>
    <t>Dubai</t>
  </si>
  <si>
    <t xml:space="preserve">Dublin </t>
  </si>
  <si>
    <t xml:space="preserve">Edmonton </t>
  </si>
  <si>
    <t xml:space="preserve">Frankfurt </t>
  </si>
  <si>
    <t xml:space="preserve">Geneva </t>
  </si>
  <si>
    <t>Guatemala</t>
  </si>
  <si>
    <t xml:space="preserve">Halifax </t>
  </si>
  <si>
    <t>Hanoi</t>
  </si>
  <si>
    <t>Harare</t>
  </si>
  <si>
    <t xml:space="preserve">Havana </t>
  </si>
  <si>
    <t xml:space="preserve">Helsinki </t>
  </si>
  <si>
    <t>Hong Kong</t>
  </si>
  <si>
    <t>Honolulu</t>
  </si>
  <si>
    <t xml:space="preserve">Houston </t>
  </si>
  <si>
    <t xml:space="preserve">Indianapolis </t>
  </si>
  <si>
    <t>Lima</t>
  </si>
  <si>
    <t xml:space="preserve">Montreal </t>
  </si>
  <si>
    <t xml:space="preserve">Moscow </t>
  </si>
  <si>
    <t>Mumbai</t>
  </si>
  <si>
    <t>Nairobi</t>
  </si>
  <si>
    <t xml:space="preserve">Nassau </t>
  </si>
  <si>
    <t>New Delhi</t>
  </si>
  <si>
    <t xml:space="preserve">New Orleans </t>
  </si>
  <si>
    <t xml:space="preserve">New York </t>
  </si>
  <si>
    <t xml:space="preserve">Oslo </t>
  </si>
  <si>
    <t xml:space="preserve">Ottawa </t>
  </si>
  <si>
    <t xml:space="preserve">Paris </t>
  </si>
  <si>
    <t>Perth</t>
  </si>
  <si>
    <t xml:space="preserve">Philadelphia </t>
  </si>
  <si>
    <t>Phoenix</t>
  </si>
  <si>
    <t xml:space="preserve">Prague </t>
  </si>
  <si>
    <t>Reykjavik</t>
  </si>
  <si>
    <t>Rio de Janeiro</t>
  </si>
  <si>
    <t>Riyadh</t>
  </si>
  <si>
    <t xml:space="preserve">Rome </t>
  </si>
  <si>
    <t xml:space="preserve">San Francisco </t>
  </si>
  <si>
    <t>San Juan</t>
  </si>
  <si>
    <t>San Salvador</t>
  </si>
  <si>
    <t>Santiago</t>
  </si>
  <si>
    <t>Santo Domingo</t>
  </si>
  <si>
    <t>Sao Paulo</t>
  </si>
  <si>
    <t xml:space="preserve">Seattle </t>
  </si>
  <si>
    <t>Seoul</t>
  </si>
  <si>
    <t>Shanghai</t>
  </si>
  <si>
    <t>Singapore</t>
  </si>
  <si>
    <t xml:space="preserve">Sofia </t>
  </si>
  <si>
    <t xml:space="preserve">St. John's </t>
  </si>
  <si>
    <t xml:space="preserve">St. Paul </t>
  </si>
  <si>
    <t xml:space="preserve">Stockholm </t>
  </si>
  <si>
    <t>Suva</t>
  </si>
  <si>
    <t>Sydney</t>
  </si>
  <si>
    <t>Taipei</t>
  </si>
  <si>
    <t xml:space="preserve">Tallinn </t>
  </si>
  <si>
    <t>Tashkent</t>
  </si>
  <si>
    <t>Tegucigalpa</t>
  </si>
  <si>
    <t xml:space="preserve">Tehran </t>
  </si>
  <si>
    <t>Tokyo</t>
  </si>
  <si>
    <t xml:space="preserve">Toronto </t>
  </si>
  <si>
    <t xml:space="preserve">Vancouver </t>
  </si>
  <si>
    <t xml:space="preserve">Vienna </t>
  </si>
  <si>
    <t xml:space="preserve">Vladivostok </t>
  </si>
  <si>
    <t xml:space="preserve">Warsaw </t>
  </si>
  <si>
    <t xml:space="preserve">Washington DC </t>
  </si>
  <si>
    <t xml:space="preserve">Winnipeg </t>
  </si>
  <si>
    <t>Yangon</t>
  </si>
  <si>
    <t xml:space="preserve">Zagreb </t>
  </si>
  <si>
    <t xml:space="preserve">Zürich </t>
  </si>
  <si>
    <t>City</t>
  </si>
  <si>
    <t>Group E</t>
  </si>
  <si>
    <t>Group F</t>
  </si>
  <si>
    <t>Group G</t>
  </si>
  <si>
    <t>Group H</t>
  </si>
  <si>
    <t>Team Name</t>
  </si>
  <si>
    <t>Home Stadium</t>
  </si>
  <si>
    <t>Home</t>
  </si>
  <si>
    <t>Away</t>
  </si>
  <si>
    <t>If two or more teams are equal on points on completion of the group</t>
  </si>
  <si>
    <t>matches, the following criteria are applied to determine the rankings:</t>
  </si>
  <si>
    <t>a) higher number of points obtained in the group matches played among the</t>
  </si>
  <si>
    <t>teams in question;</t>
  </si>
  <si>
    <t>b) superior goal difference from the group matches played among the teams</t>
  </si>
  <si>
    <t>in question;</t>
  </si>
  <si>
    <t>c) higher number of goals scored away from home in the group matches</t>
  </si>
  <si>
    <t>played among the teams in question;</t>
  </si>
  <si>
    <t>d) superior goal difference from all group matches played;</t>
  </si>
  <si>
    <t>e) higher number of goals scored;</t>
  </si>
  <si>
    <t>f) higher number of coefficient points accumulated by the club in question,</t>
  </si>
  <si>
    <t>as well as its association, over the previous five seasons</t>
  </si>
  <si>
    <t>SECOND LEG</t>
  </si>
  <si>
    <t>FIRST LEG</t>
  </si>
  <si>
    <t>AGGREGATE</t>
  </si>
  <si>
    <t>Venue</t>
  </si>
  <si>
    <t>KNOCK OUT PHASE</t>
  </si>
  <si>
    <t>B</t>
  </si>
  <si>
    <t>C</t>
  </si>
  <si>
    <t>E</t>
  </si>
  <si>
    <t>G</t>
  </si>
  <si>
    <t>H</t>
  </si>
  <si>
    <t>Drawing Match</t>
  </si>
  <si>
    <t>Third rank in each group will qualify to join Europe League phase</t>
  </si>
  <si>
    <t>Group</t>
  </si>
  <si>
    <t>Quarter Final 1</t>
  </si>
  <si>
    <t>Quarter Final 2</t>
  </si>
  <si>
    <t>Quarter Final 3</t>
  </si>
  <si>
    <t>Quarter Final 4</t>
  </si>
  <si>
    <t>vs</t>
  </si>
  <si>
    <t>day</t>
  </si>
  <si>
    <t>Home at first leg</t>
  </si>
  <si>
    <t>Away at first leg</t>
  </si>
  <si>
    <t>Semi Final 1</t>
  </si>
  <si>
    <t>Semi Final 2</t>
  </si>
  <si>
    <t>Germany</t>
  </si>
  <si>
    <t>Italy</t>
  </si>
  <si>
    <t>England</t>
  </si>
  <si>
    <t>Russia</t>
  </si>
  <si>
    <t>Spain</t>
  </si>
  <si>
    <t>Portugal</t>
  </si>
  <si>
    <t>Ukraine</t>
  </si>
  <si>
    <t>Group winners and runner ups will qualify for knock out phase</t>
  </si>
  <si>
    <t>Tie Regulation :</t>
  </si>
  <si>
    <t>Date/Time</t>
  </si>
  <si>
    <t>Home Team</t>
  </si>
  <si>
    <t>Away Team</t>
  </si>
  <si>
    <t>M</t>
  </si>
  <si>
    <t>Turkey</t>
  </si>
  <si>
    <t>GROUP STAGES</t>
  </si>
  <si>
    <t>PK</t>
  </si>
  <si>
    <t>ET</t>
  </si>
  <si>
    <t>Highlight Group Matches &gt;&gt;</t>
  </si>
  <si>
    <t>Based on &gt;&gt;</t>
  </si>
  <si>
    <t>&gt;</t>
  </si>
  <si>
    <t>SETUP</t>
  </si>
  <si>
    <t>Semifinal 1</t>
  </si>
  <si>
    <t>Semifinal 2</t>
  </si>
  <si>
    <t>Switzerland</t>
  </si>
  <si>
    <t>Cyprus</t>
  </si>
  <si>
    <t>Coef</t>
  </si>
  <si>
    <t>https://www.uefa.com/memberassociations/uefarankings/club/index.html</t>
  </si>
  <si>
    <t>I</t>
  </si>
  <si>
    <t>J</t>
  </si>
  <si>
    <t>K</t>
  </si>
  <si>
    <t>Austria</t>
  </si>
  <si>
    <t>Bulgaria</t>
  </si>
  <si>
    <t>Lazio</t>
  </si>
  <si>
    <t>Group I</t>
  </si>
  <si>
    <t>Gorup J</t>
  </si>
  <si>
    <t>Group K</t>
  </si>
  <si>
    <t>Group L</t>
  </si>
  <si>
    <t>N</t>
  </si>
  <si>
    <t>O</t>
  </si>
  <si>
    <t>Europe League Group Winner</t>
  </si>
  <si>
    <t>Europe League Group Runner Up</t>
  </si>
  <si>
    <t>Champions League Bottom 4 third-place teams</t>
  </si>
  <si>
    <t>Champions League Top 4 third-place teams</t>
  </si>
  <si>
    <t>QUARTERFINALS</t>
  </si>
  <si>
    <t>ROUND OF 16</t>
  </si>
  <si>
    <t>Team 1</t>
  </si>
  <si>
    <t>Team 2</t>
  </si>
  <si>
    <t>Team 3</t>
  </si>
  <si>
    <t>Team 4</t>
  </si>
  <si>
    <t>QUALIFIED TEAM FROM CHAMPIONS LEAGUE</t>
  </si>
  <si>
    <t>Team 5</t>
  </si>
  <si>
    <t>Team 6</t>
  </si>
  <si>
    <t>Team 7</t>
  </si>
  <si>
    <t>Team 8</t>
  </si>
  <si>
    <t>Home Stadium 1</t>
  </si>
  <si>
    <t>Home Stadium 2</t>
  </si>
  <si>
    <t>Home Stadium 3</t>
  </si>
  <si>
    <t>Home Stadium 4</t>
  </si>
  <si>
    <t>Home Stadium 5</t>
  </si>
  <si>
    <t>Home Stadium 6</t>
  </si>
  <si>
    <t>Home Stadium 7</t>
  </si>
  <si>
    <t>Home Stadium 8</t>
  </si>
  <si>
    <t>Country 1</t>
  </si>
  <si>
    <t>Country 2</t>
  </si>
  <si>
    <t>Country 3</t>
  </si>
  <si>
    <t>Country 4</t>
  </si>
  <si>
    <t>Country 5</t>
  </si>
  <si>
    <t>Country 6</t>
  </si>
  <si>
    <t>Country 7</t>
  </si>
  <si>
    <t>Country 8</t>
  </si>
  <si>
    <t>Seeded</t>
  </si>
  <si>
    <t>1st Round Winner - Match 1</t>
  </si>
  <si>
    <t>1st Round Winner - Match 2</t>
  </si>
  <si>
    <t>1st Round Winner - Match 3</t>
  </si>
  <si>
    <t>1st Round Winner - Match 4</t>
  </si>
  <si>
    <t>1st Round Winner - Match 5</t>
  </si>
  <si>
    <t>1st Round Winner - Match 6</t>
  </si>
  <si>
    <t>1st Round Winner - Match 7</t>
  </si>
  <si>
    <t>1st Round Winner - Match 8</t>
  </si>
  <si>
    <t>1st Round Winner - Match 9</t>
  </si>
  <si>
    <t>1st Round Winner - Match 10</t>
  </si>
  <si>
    <t>1st Round Winner - Match 11</t>
  </si>
  <si>
    <t>1st Round Winner - Match 12</t>
  </si>
  <si>
    <t>1st Round Winner - Match 13</t>
  </si>
  <si>
    <t>1st Round Winner - Match 14</t>
  </si>
  <si>
    <t>1st Round Winner - Match 15</t>
  </si>
  <si>
    <t>1st Round Winner - Match 16</t>
  </si>
  <si>
    <t>Round of 16 - Match 1</t>
  </si>
  <si>
    <t>Round of 16 - Match 2</t>
  </si>
  <si>
    <t>Round of 16 - Match 3</t>
  </si>
  <si>
    <t>Round of 16 - Match 4</t>
  </si>
  <si>
    <t>Round of 16 - Match 5</t>
  </si>
  <si>
    <t>Round of 16 - Match 6</t>
  </si>
  <si>
    <t>Round of 16 - Match 7</t>
  </si>
  <si>
    <t>Round of 16 - Match 8</t>
  </si>
  <si>
    <t>R16 Winner - Match 1</t>
  </si>
  <si>
    <t>R16 Winner - Match 2</t>
  </si>
  <si>
    <t>R16 Winner - Match 3</t>
  </si>
  <si>
    <t>R16 Winner - Match 4</t>
  </si>
  <si>
    <t>R16 Winner - Match 5</t>
  </si>
  <si>
    <t>R16 Winner - Match 6</t>
  </si>
  <si>
    <t>R16 Winner - Match 7</t>
  </si>
  <si>
    <t>R16 Winner - Match 8</t>
  </si>
  <si>
    <t>QF Winner - Match 1</t>
  </si>
  <si>
    <t>QF Winner - Match 2</t>
  </si>
  <si>
    <t>QF Winner - Match 3</t>
  </si>
  <si>
    <t>QF Winner - Match 4</t>
  </si>
  <si>
    <t>Astana Arena</t>
  </si>
  <si>
    <t>Kazakhstan</t>
  </si>
  <si>
    <t>Ludogorets Arena</t>
  </si>
  <si>
    <t>Denmark</t>
  </si>
  <si>
    <t>Parken Stadium</t>
  </si>
  <si>
    <t>Emirates Stadium</t>
  </si>
  <si>
    <t>Sweden</t>
  </si>
  <si>
    <t>Belgium</t>
  </si>
  <si>
    <t>Lerkendal Stadion</t>
  </si>
  <si>
    <t>Norway</t>
  </si>
  <si>
    <t>Enter Europe League participants that are eliminated from from Champions League Knock Out rounds and ranked 3rd in each group. Sort them based on Europe League policy. Their names will be shown automatically in Europe League drawing names in Group Stages worksheet</t>
  </si>
  <si>
    <t>Notes :</t>
  </si>
  <si>
    <t>* Stadium, country and coefficient values are editable</t>
  </si>
  <si>
    <t>* UEFA coefficient source :</t>
  </si>
  <si>
    <t>Type pairing number in column V based on their drawing number, for example if team from group A winner get drawing no 1, put no 1 on cell V111, and then if group D runner up get drawing no 1, put no 1 on cell V134. This no 1 pair will be shown in Knock Out bracket automatically.</t>
  </si>
  <si>
    <t>Team</t>
  </si>
  <si>
    <t>GrP</t>
  </si>
  <si>
    <t>Sporting CP</t>
  </si>
  <si>
    <t>F91 Dudelange</t>
  </si>
  <si>
    <t>Eintracht Frankfurt</t>
  </si>
  <si>
    <t>Malmo</t>
  </si>
  <si>
    <t>Celtic Park</t>
  </si>
  <si>
    <t>Scotland</t>
  </si>
  <si>
    <t>Azerbaijan</t>
  </si>
  <si>
    <t>Luxembourg</t>
  </si>
  <si>
    <t>Ibrox Stadium</t>
  </si>
  <si>
    <t>Vodafone Park</t>
  </si>
  <si>
    <t>Ramón Sánchez Pizjuán</t>
  </si>
  <si>
    <t>Krasnodar Stadium</t>
  </si>
  <si>
    <t>Stade Maurice Dufrasne</t>
  </si>
  <si>
    <t>Roazhon Park</t>
  </si>
  <si>
    <t>© 2018 - Exceltemplate.net</t>
  </si>
  <si>
    <t>© 2018 - exceltemplate.NET</t>
  </si>
  <si>
    <t>APOEL Nikosia</t>
  </si>
  <si>
    <t>Qarabağ FK</t>
  </si>
  <si>
    <t>Dinamo Kiev</t>
  </si>
  <si>
    <t>FC København</t>
  </si>
  <si>
    <t>FC Basel</t>
  </si>
  <si>
    <t>Getafe CF</t>
  </si>
  <si>
    <t>LASK</t>
  </si>
  <si>
    <t>PSV Eindhoven</t>
  </si>
  <si>
    <t>Stade Rennes</t>
  </si>
  <si>
    <t>CFR Cluj</t>
  </si>
  <si>
    <t>Standard Liège</t>
  </si>
  <si>
    <t>FC Porto</t>
  </si>
  <si>
    <t>Rangers FC</t>
  </si>
  <si>
    <t>PFC Ludogorets Razgrad</t>
  </si>
  <si>
    <t>KAA Gent</t>
  </si>
  <si>
    <t>VfL Wolfsburg</t>
  </si>
  <si>
    <t>AS Roma</t>
  </si>
  <si>
    <t>Bor. Mönchengladbach</t>
  </si>
  <si>
    <t>Slovan Bratislava</t>
  </si>
  <si>
    <t>Wolverhampton Wanderers</t>
  </si>
  <si>
    <t>Partizan</t>
  </si>
  <si>
    <t>Manchester United</t>
  </si>
  <si>
    <t>Sevilla FC</t>
  </si>
  <si>
    <t>FC Lugano</t>
  </si>
  <si>
    <t>Malmö FF</t>
  </si>
  <si>
    <t>Trabzonspor</t>
  </si>
  <si>
    <t>FK Krasnodar</t>
  </si>
  <si>
    <t>Rosenborg BK</t>
  </si>
  <si>
    <t>Celtic FC</t>
  </si>
  <si>
    <t>Arsenal FC</t>
  </si>
  <si>
    <t>Vitória Guimarães</t>
  </si>
  <si>
    <t>BSC Young Boys</t>
  </si>
  <si>
    <t>Feyenoord</t>
  </si>
  <si>
    <t>CSKA Moskva</t>
  </si>
  <si>
    <t>Ferencvárosi TC</t>
  </si>
  <si>
    <t>AS Saint-Étienne</t>
  </si>
  <si>
    <t>FC Oleksandriya</t>
  </si>
  <si>
    <t>Wolfsberger AC</t>
  </si>
  <si>
    <t>İstanbul Başakşehir F.K.</t>
  </si>
  <si>
    <t>Beşiktaş</t>
  </si>
  <si>
    <t>Sporting Braga</t>
  </si>
  <si>
    <t>FK Astana</t>
  </si>
  <si>
    <t>AZ Alkmaar</t>
  </si>
  <si>
    <t>3</t>
  </si>
  <si>
    <t>0</t>
  </si>
  <si>
    <t>1</t>
  </si>
  <si>
    <t>5</t>
  </si>
  <si>
    <t>2</t>
  </si>
  <si>
    <t>4</t>
  </si>
  <si>
    <t>6</t>
  </si>
  <si>
    <t>Stadion GSP</t>
  </si>
  <si>
    <t>Tofiq Bahramov Republican Stadium</t>
  </si>
  <si>
    <t>Stade Josy Barthel</t>
  </si>
  <si>
    <t>NSC Olimpiyskiy Stadium</t>
  </si>
  <si>
    <t>Kybunpark, St Gallen</t>
  </si>
  <si>
    <t>St, jakob-Park</t>
  </si>
  <si>
    <t>Coliseum Alfonso Perez</t>
  </si>
  <si>
    <t>Şenol Güneş Stadium</t>
  </si>
  <si>
    <t>Linzer Stadion</t>
  </si>
  <si>
    <t>Philips Stadion</t>
  </si>
  <si>
    <t>Netherlands</t>
  </si>
  <si>
    <t>Estadio Jose Alvalade</t>
  </si>
  <si>
    <t>Stadionul Dr. Constantin Rădulescu</t>
  </si>
  <si>
    <t>Romania</t>
  </si>
  <si>
    <t>Olimpico</t>
  </si>
  <si>
    <t>Waldstadion, Frankfurt am Main</t>
  </si>
  <si>
    <t>Estádio D. Afonso Henriques</t>
  </si>
  <si>
    <t>Estádio do Dragão</t>
  </si>
  <si>
    <t>Stade de Suisse</t>
  </si>
  <si>
    <t>De Kuip</t>
  </si>
  <si>
    <t>RCDE Stadium</t>
  </si>
  <si>
    <t>VEB Arena</t>
  </si>
  <si>
    <t>Groupama Arena</t>
  </si>
  <si>
    <t>Hungary</t>
  </si>
  <si>
    <t>Ghelamco Arena</t>
  </si>
  <si>
    <t>Volkswagen Area</t>
  </si>
  <si>
    <t>Stade Geoffroy-Guichard</t>
  </si>
  <si>
    <t>Arena Lviv</t>
  </si>
  <si>
    <t>Borussia Park</t>
  </si>
  <si>
    <t>Liebenauer Stadium</t>
  </si>
  <si>
    <t>Başakşehir Fatih Terim Stadium</t>
  </si>
  <si>
    <t>Tehelné pole</t>
  </si>
  <si>
    <t>Molineux Stadium</t>
  </si>
  <si>
    <t>Estadio Municipal</t>
  </si>
  <si>
    <t>Slovakia</t>
  </si>
  <si>
    <t>Partizan Stadium</t>
  </si>
  <si>
    <t>Old Trafford</t>
  </si>
  <si>
    <t>Cars Jeans Stadion</t>
  </si>
  <si>
    <t>Serbia</t>
  </si>
  <si>
    <t>Espanyol</t>
  </si>
  <si>
    <t>First Round Knock Out Qualification (Draw on 16 Dec 2019)</t>
  </si>
  <si>
    <t>ROUND of 16 DRAWING : 28 FEBRUARY 2020</t>
  </si>
  <si>
    <t>SEMIFINALS DRAWING : 20 APRIL 2020</t>
  </si>
  <si>
    <t>QUARTERFINALS DRAWING : 20 MARCH 2020</t>
  </si>
  <si>
    <t>UEFA EUROPE LEAGUE 2019/2020 CHAMPION</t>
  </si>
  <si>
    <t>27 May 2020 at Stadion Energa Gdańsk, Gdańsk</t>
  </si>
  <si>
    <t xml:space="preserve">Need help? Please see this page for information: </t>
  </si>
  <si>
    <t>https://exceltemplate.net/support/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</si>
</sst>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
    <numFmt numFmtId="165" formatCode="h:mm;@"/>
    <numFmt numFmtId="166" formatCode="ddd\,\ dd\-mmm\-yy"/>
  </numFmts>
  <fonts count="30" x14ac:knownFonts="1">
    <font>
      <sz val="10"/>
      <name val="Arial"/>
    </font>
    <font>
      <sz val="8"/>
      <name val="Arial"/>
      <family val="2"/>
    </font>
    <font>
      <sz val="10"/>
      <name val="Calibri"/>
      <family val="2"/>
      <scheme val="minor"/>
    </font>
    <font>
      <sz val="12"/>
      <name val="Calibri"/>
      <family val="2"/>
      <scheme val="minor"/>
    </font>
    <font>
      <sz val="11"/>
      <name val="Calibri"/>
      <family val="2"/>
      <scheme val="minor"/>
    </font>
    <font>
      <sz val="11"/>
      <color indexed="10"/>
      <name val="Calibri"/>
      <family val="2"/>
      <scheme val="minor"/>
    </font>
    <font>
      <sz val="11"/>
      <color indexed="9"/>
      <name val="Calibri"/>
      <family val="2"/>
      <scheme val="minor"/>
    </font>
    <font>
      <b/>
      <sz val="11"/>
      <color indexed="9"/>
      <name val="Calibri"/>
      <family val="2"/>
      <scheme val="minor"/>
    </font>
    <font>
      <b/>
      <sz val="11"/>
      <name val="Calibri"/>
      <family val="2"/>
      <scheme val="minor"/>
    </font>
    <font>
      <b/>
      <sz val="11"/>
      <color indexed="12"/>
      <name val="Calibri"/>
      <family val="2"/>
      <scheme val="minor"/>
    </font>
    <font>
      <sz val="12"/>
      <color indexed="9"/>
      <name val="Calibri"/>
      <family val="2"/>
      <scheme val="minor"/>
    </font>
    <font>
      <b/>
      <sz val="12"/>
      <name val="Calibri"/>
      <family val="2"/>
      <scheme val="minor"/>
    </font>
    <font>
      <sz val="11"/>
      <color theme="0"/>
      <name val="Calibri"/>
      <family val="2"/>
      <scheme val="minor"/>
    </font>
    <font>
      <b/>
      <sz val="36"/>
      <color indexed="12"/>
      <name val="Calibri"/>
      <family val="2"/>
      <scheme val="minor"/>
    </font>
    <font>
      <sz val="14"/>
      <name val="Calibri"/>
      <family val="2"/>
      <scheme val="minor"/>
    </font>
    <font>
      <b/>
      <sz val="11"/>
      <color indexed="61"/>
      <name val="Calibri"/>
      <family val="2"/>
      <scheme val="minor"/>
    </font>
    <font>
      <b/>
      <sz val="14"/>
      <color theme="0"/>
      <name val="Calibri"/>
      <family val="2"/>
      <scheme val="minor"/>
    </font>
    <font>
      <b/>
      <sz val="14"/>
      <color indexed="9"/>
      <name val="Calibri"/>
      <family val="2"/>
      <scheme val="minor"/>
    </font>
    <font>
      <sz val="14"/>
      <color theme="0"/>
      <name val="Calibri"/>
      <family val="2"/>
      <scheme val="minor"/>
    </font>
    <font>
      <sz val="14"/>
      <color indexed="9"/>
      <name val="Calibri"/>
      <family val="2"/>
      <scheme val="minor"/>
    </font>
    <font>
      <u/>
      <sz val="10"/>
      <color indexed="12"/>
      <name val="Arial"/>
      <family val="2"/>
    </font>
    <font>
      <sz val="11"/>
      <color theme="6" tint="0.59999389629810485"/>
      <name val="Calibri"/>
      <family val="2"/>
      <scheme val="minor"/>
    </font>
    <font>
      <u/>
      <sz val="11"/>
      <color indexed="12"/>
      <name val="Calibri"/>
      <family val="2"/>
      <scheme val="minor"/>
    </font>
    <font>
      <u/>
      <sz val="12"/>
      <name val="Calibri"/>
      <family val="2"/>
      <scheme val="minor"/>
    </font>
    <font>
      <b/>
      <sz val="10"/>
      <color theme="0"/>
      <name val="Verdana"/>
      <family val="2"/>
    </font>
    <font>
      <sz val="10"/>
      <color theme="0"/>
      <name val="Verdana"/>
      <family val="2"/>
    </font>
    <font>
      <sz val="20"/>
      <color theme="1"/>
      <name val="Arial"/>
      <family val="2"/>
    </font>
    <font>
      <sz val="20"/>
      <color theme="1"/>
      <name val="Calibri"/>
      <family val="2"/>
      <scheme val="minor"/>
    </font>
    <font>
      <u/>
      <sz val="20"/>
      <color theme="10"/>
      <name val="Arial"/>
      <family val="2"/>
    </font>
    <font>
      <u/>
      <sz val="20"/>
      <color theme="10"/>
      <name val="Calibri"/>
      <family val="2"/>
      <scheme val="minor"/>
    </font>
  </fonts>
  <fills count="18">
    <fill>
      <patternFill patternType="none"/>
    </fill>
    <fill>
      <patternFill patternType="gray125"/>
    </fill>
    <fill>
      <patternFill patternType="solid">
        <fgColor indexed="48"/>
        <bgColor indexed="64"/>
      </patternFill>
    </fill>
    <fill>
      <patternFill patternType="solid">
        <fgColor indexed="44"/>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5" tint="-0.499984740745262"/>
        <bgColor indexed="64"/>
      </patternFill>
    </fill>
    <fill>
      <patternFill patternType="solid">
        <fgColor theme="7" tint="-0.249977111117893"/>
        <bgColor indexed="64"/>
      </patternFill>
    </fill>
    <fill>
      <patternFill patternType="solid">
        <fgColor theme="2" tint="-0.749992370372631"/>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79998168889431442"/>
        <bgColor indexed="64"/>
      </patternFill>
    </fill>
  </fills>
  <borders count="16">
    <border>
      <left/>
      <right/>
      <top/>
      <bottom/>
      <diagonal/>
    </border>
    <border>
      <left style="thin">
        <color auto="1"/>
      </left>
      <right/>
      <top/>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hair">
        <color auto="1"/>
      </left>
      <right/>
      <top/>
      <bottom/>
      <diagonal/>
    </border>
    <border>
      <left style="hair">
        <color auto="1"/>
      </left>
      <right/>
      <top/>
      <bottom style="thin">
        <color auto="1"/>
      </bottom>
      <diagonal/>
    </border>
    <border>
      <left/>
      <right/>
      <top style="double">
        <color auto="1"/>
      </top>
      <bottom style="double">
        <color auto="1"/>
      </bottom>
      <diagonal/>
    </border>
  </borders>
  <cellStyleXfs count="2">
    <xf numFmtId="0" fontId="0" fillId="0" borderId="0"/>
    <xf numFmtId="0" fontId="20" fillId="0" borderId="0" applyNumberFormat="0" applyFill="0" applyBorder="0" applyAlignment="0" applyProtection="0">
      <alignment vertical="top"/>
      <protection locked="0"/>
    </xf>
  </cellStyleXfs>
  <cellXfs count="261">
    <xf numFmtId="0" fontId="0" fillId="0" borderId="0" xfId="0"/>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0" fontId="4" fillId="0" borderId="2" xfId="0" applyFont="1" applyBorder="1" applyAlignment="1" applyProtection="1">
      <alignment vertical="center"/>
      <protection locked="0"/>
    </xf>
    <xf numFmtId="0" fontId="4" fillId="0" borderId="1"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hidden="1"/>
    </xf>
    <xf numFmtId="0" fontId="4" fillId="3" borderId="0" xfId="0" applyFont="1"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protection locked="0"/>
    </xf>
    <xf numFmtId="0" fontId="7" fillId="2" borderId="0" xfId="0" applyFont="1" applyFill="1" applyBorder="1" applyAlignment="1" applyProtection="1">
      <alignment vertical="center"/>
      <protection hidden="1"/>
    </xf>
    <xf numFmtId="164" fontId="4" fillId="0" borderId="0" xfId="0" applyNumberFormat="1" applyFont="1" applyBorder="1" applyAlignment="1" applyProtection="1">
      <alignment horizontal="right" vertical="center" shrinkToFit="1"/>
      <protection locked="0"/>
    </xf>
    <xf numFmtId="165" fontId="4" fillId="0" borderId="0" xfId="0" applyNumberFormat="1" applyFont="1" applyBorder="1" applyAlignment="1" applyProtection="1">
      <alignment horizontal="right" vertical="center" shrinkToFit="1"/>
      <protection locked="0"/>
    </xf>
    <xf numFmtId="0" fontId="4" fillId="0" borderId="0" xfId="0" applyFont="1" applyFill="1" applyBorder="1" applyAlignment="1" applyProtection="1">
      <alignment horizontal="right" vertical="center"/>
      <protection locked="0"/>
    </xf>
    <xf numFmtId="0" fontId="4" fillId="0" borderId="0" xfId="0" applyFont="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0" xfId="0" applyFont="1" applyBorder="1" applyAlignment="1" applyProtection="1">
      <alignment horizontal="right" vertical="center" shrinkToFit="1"/>
      <protection locked="0"/>
    </xf>
    <xf numFmtId="0" fontId="4" fillId="0" borderId="0" xfId="0" applyFont="1" applyBorder="1" applyAlignment="1" applyProtection="1">
      <alignment horizontal="right" vertical="center"/>
      <protection locked="0"/>
    </xf>
    <xf numFmtId="0" fontId="4"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locked="0"/>
    </xf>
    <xf numFmtId="0" fontId="7" fillId="0" borderId="0" xfId="0" applyFont="1" applyFill="1" applyAlignment="1" applyProtection="1">
      <alignment vertical="center"/>
      <protection locked="0"/>
    </xf>
    <xf numFmtId="0" fontId="7" fillId="3" borderId="0"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8" fillId="0" borderId="0" xfId="0" applyFont="1" applyBorder="1" applyAlignment="1" applyProtection="1">
      <alignment vertical="center"/>
      <protection hidden="1"/>
    </xf>
    <xf numFmtId="0" fontId="8" fillId="0" borderId="0" xfId="0" applyFont="1" applyFill="1" applyBorder="1" applyAlignment="1" applyProtection="1">
      <alignment vertical="center"/>
      <protection hidden="1"/>
    </xf>
    <xf numFmtId="0" fontId="6" fillId="0" borderId="0" xfId="0" applyFont="1" applyBorder="1" applyAlignment="1" applyProtection="1">
      <alignment vertical="center"/>
      <protection locked="0"/>
    </xf>
    <xf numFmtId="15" fontId="4" fillId="0" borderId="0" xfId="0" applyNumberFormat="1"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7" fillId="2" borderId="8"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3" xfId="0" applyFont="1" applyFill="1" applyBorder="1" applyAlignment="1" applyProtection="1">
      <alignment horizontal="center" vertical="center"/>
      <protection locked="0"/>
    </xf>
    <xf numFmtId="0" fontId="7" fillId="2" borderId="4" xfId="0" applyFont="1" applyFill="1" applyBorder="1" applyAlignment="1" applyProtection="1">
      <alignment vertical="center"/>
      <protection locked="0"/>
    </xf>
    <xf numFmtId="0" fontId="4" fillId="0" borderId="0" xfId="0" applyFont="1" applyBorder="1" applyAlignment="1" applyProtection="1">
      <alignment horizontal="right" vertical="center"/>
      <protection hidden="1"/>
    </xf>
    <xf numFmtId="0" fontId="4" fillId="0" borderId="0" xfId="0" applyFont="1" applyBorder="1" applyAlignment="1" applyProtection="1">
      <alignment horizontal="left" vertical="center"/>
      <protection hidden="1"/>
    </xf>
    <xf numFmtId="0" fontId="4" fillId="0" borderId="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vertical="center"/>
      <protection locked="0"/>
    </xf>
    <xf numFmtId="0" fontId="8" fillId="0" borderId="0" xfId="0" applyFont="1" applyBorder="1" applyAlignment="1" applyProtection="1">
      <alignment vertical="center"/>
      <protection locked="0"/>
    </xf>
    <xf numFmtId="0" fontId="6" fillId="6" borderId="0" xfId="0" applyFont="1" applyFill="1" applyBorder="1" applyAlignment="1" applyProtection="1">
      <alignment horizontal="center" vertical="center"/>
      <protection locked="0"/>
    </xf>
    <xf numFmtId="0" fontId="4" fillId="6" borderId="0" xfId="0" applyFont="1" applyFill="1" applyBorder="1" applyAlignment="1" applyProtection="1">
      <alignment horizontal="center" vertical="center"/>
      <protection locked="0"/>
    </xf>
    <xf numFmtId="0" fontId="4" fillId="6" borderId="0" xfId="0" applyFont="1" applyFill="1" applyBorder="1" applyAlignment="1" applyProtection="1">
      <alignment vertical="center"/>
      <protection locked="0"/>
    </xf>
    <xf numFmtId="0" fontId="4" fillId="6" borderId="0" xfId="0" applyNumberFormat="1" applyFont="1" applyFill="1" applyBorder="1" applyAlignment="1" applyProtection="1">
      <alignment horizontal="center" vertical="center" shrinkToFit="1"/>
      <protection locked="0"/>
    </xf>
    <xf numFmtId="165" fontId="4" fillId="6" borderId="0" xfId="0" applyNumberFormat="1" applyFont="1" applyFill="1" applyBorder="1" applyAlignment="1" applyProtection="1">
      <alignment horizontal="right" vertical="center" shrinkToFit="1"/>
      <protection locked="0"/>
    </xf>
    <xf numFmtId="15" fontId="4" fillId="6" borderId="0" xfId="0" applyNumberFormat="1" applyFont="1" applyFill="1" applyBorder="1" applyAlignment="1" applyProtection="1">
      <alignment horizontal="center" vertical="center"/>
      <protection locked="0"/>
    </xf>
    <xf numFmtId="0" fontId="4" fillId="7" borderId="0" xfId="0" applyFont="1" applyFill="1" applyBorder="1" applyAlignment="1" applyProtection="1">
      <alignment vertical="center"/>
      <protection locked="0"/>
    </xf>
    <xf numFmtId="0" fontId="4" fillId="7" borderId="0" xfId="0" applyFont="1" applyFill="1" applyBorder="1" applyAlignment="1" applyProtection="1">
      <alignment horizontal="center" vertical="center"/>
      <protection locked="0"/>
    </xf>
    <xf numFmtId="0" fontId="4" fillId="7" borderId="0" xfId="0" applyNumberFormat="1" applyFont="1" applyFill="1" applyBorder="1" applyAlignment="1" applyProtection="1">
      <alignment horizontal="center" vertical="center" shrinkToFit="1"/>
      <protection locked="0"/>
    </xf>
    <xf numFmtId="15" fontId="4" fillId="7" borderId="0" xfId="0" applyNumberFormat="1" applyFont="1" applyFill="1" applyBorder="1" applyAlignment="1" applyProtection="1">
      <alignment horizontal="center" vertical="center"/>
      <protection locked="0"/>
    </xf>
    <xf numFmtId="0" fontId="10" fillId="0" borderId="0" xfId="0" applyFont="1"/>
    <xf numFmtId="0" fontId="3" fillId="0" borderId="0" xfId="0" applyFont="1"/>
    <xf numFmtId="0" fontId="11" fillId="0" borderId="0" xfId="0" applyFont="1" applyBorder="1" applyAlignment="1">
      <alignment horizontal="left" vertical="center" indent="1"/>
    </xf>
    <xf numFmtId="0" fontId="11" fillId="0" borderId="0" xfId="0" applyFont="1" applyBorder="1" applyAlignment="1" applyProtection="1">
      <alignment horizontal="left" vertical="center" indent="1"/>
      <protection hidden="1"/>
    </xf>
    <xf numFmtId="0" fontId="11" fillId="0" borderId="0" xfId="0" applyFont="1" applyBorder="1"/>
    <xf numFmtId="0" fontId="4" fillId="7" borderId="0" xfId="0" applyFont="1" applyFill="1" applyBorder="1" applyAlignment="1" applyProtection="1">
      <alignment horizontal="right" vertical="center"/>
      <protection hidden="1"/>
    </xf>
    <xf numFmtId="0" fontId="4" fillId="7" borderId="0" xfId="0" applyFont="1" applyFill="1" applyBorder="1" applyAlignment="1" applyProtection="1">
      <alignment vertical="center"/>
      <protection hidden="1"/>
    </xf>
    <xf numFmtId="0" fontId="4" fillId="6" borderId="0" xfId="0" applyFont="1" applyFill="1" applyBorder="1" applyAlignment="1" applyProtection="1">
      <alignment horizontal="right" vertical="center"/>
      <protection hidden="1"/>
    </xf>
    <xf numFmtId="0" fontId="4" fillId="6" borderId="0" xfId="0" applyFont="1" applyFill="1" applyBorder="1" applyAlignment="1" applyProtection="1">
      <alignment vertical="center"/>
      <protection hidden="1"/>
    </xf>
    <xf numFmtId="0" fontId="6" fillId="6" borderId="0" xfId="0" applyFont="1" applyFill="1" applyBorder="1" applyAlignment="1" applyProtection="1">
      <alignment horizontal="center" vertical="center"/>
      <protection hidden="1"/>
    </xf>
    <xf numFmtId="0" fontId="4" fillId="6" borderId="0" xfId="0" applyFont="1" applyFill="1" applyBorder="1" applyAlignment="1" applyProtection="1">
      <alignment horizontal="center" vertical="center"/>
      <protection hidden="1"/>
    </xf>
    <xf numFmtId="0" fontId="4" fillId="7" borderId="0" xfId="0" applyFont="1" applyFill="1" applyBorder="1" applyAlignment="1" applyProtection="1">
      <alignment horizontal="center" vertical="center"/>
      <protection hidden="1"/>
    </xf>
    <xf numFmtId="0" fontId="4" fillId="0" borderId="12" xfId="0" applyFont="1" applyBorder="1" applyAlignment="1">
      <alignment horizontal="left" vertical="center" indent="1"/>
    </xf>
    <xf numFmtId="0" fontId="13" fillId="0" borderId="0" xfId="0" applyFont="1" applyBorder="1" applyAlignment="1" applyProtection="1">
      <alignment horizontal="center" vertical="center"/>
      <protection hidden="1"/>
    </xf>
    <xf numFmtId="0" fontId="11" fillId="0" borderId="0" xfId="0" applyFont="1" applyBorder="1" applyAlignment="1" applyProtection="1">
      <alignment vertical="center"/>
      <protection locked="0"/>
    </xf>
    <xf numFmtId="0" fontId="4" fillId="0" borderId="0" xfId="0" applyFont="1" applyProtection="1">
      <protection hidden="1"/>
    </xf>
    <xf numFmtId="0" fontId="4" fillId="0" borderId="0" xfId="0" applyFont="1" applyAlignment="1" applyProtection="1">
      <alignment horizontal="center"/>
      <protection hidden="1"/>
    </xf>
    <xf numFmtId="0" fontId="4" fillId="0" borderId="0" xfId="0" applyFont="1" applyAlignment="1" applyProtection="1">
      <alignment horizontal="right"/>
      <protection hidden="1"/>
    </xf>
    <xf numFmtId="0" fontId="12" fillId="0" borderId="0" xfId="0" applyFont="1" applyProtection="1">
      <protection hidden="1"/>
    </xf>
    <xf numFmtId="0" fontId="6" fillId="0" borderId="0" xfId="0" applyFont="1" applyProtection="1">
      <protection hidden="1"/>
    </xf>
    <xf numFmtId="0" fontId="4" fillId="0" borderId="0" xfId="0" applyFont="1" applyAlignment="1" applyProtection="1">
      <alignment vertical="center"/>
      <protection hidden="1"/>
    </xf>
    <xf numFmtId="0" fontId="12" fillId="0" borderId="0" xfId="0" applyFont="1" applyAlignment="1" applyProtection="1">
      <alignment vertical="center"/>
      <protection hidden="1"/>
    </xf>
    <xf numFmtId="0" fontId="6" fillId="0" borderId="0" xfId="0" applyFont="1" applyAlignment="1" applyProtection="1">
      <alignment vertical="center"/>
      <protection hidden="1"/>
    </xf>
    <xf numFmtId="0" fontId="4" fillId="0" borderId="1"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4" fillId="0" borderId="2" xfId="0" applyFont="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4" fillId="0" borderId="8" xfId="0" applyFont="1" applyBorder="1" applyAlignment="1" applyProtection="1">
      <alignment horizontal="right" vertical="center"/>
      <protection hidden="1"/>
    </xf>
    <xf numFmtId="0" fontId="4" fillId="0" borderId="3" xfId="0" applyFont="1" applyBorder="1" applyAlignment="1" applyProtection="1">
      <alignment vertical="center"/>
      <protection hidden="1"/>
    </xf>
    <xf numFmtId="0" fontId="4" fillId="0" borderId="4" xfId="0" applyFont="1" applyBorder="1" applyAlignment="1" applyProtection="1">
      <alignment vertical="center"/>
      <protection hidden="1"/>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right" vertical="center"/>
      <protection locked="0"/>
    </xf>
    <xf numFmtId="0" fontId="8" fillId="0" borderId="0" xfId="0" applyFont="1" applyBorder="1" applyAlignment="1" applyProtection="1">
      <alignment horizontal="left" vertical="center"/>
      <protection locked="0"/>
    </xf>
    <xf numFmtId="0" fontId="4" fillId="0" borderId="1" xfId="0" applyFont="1" applyBorder="1" applyAlignment="1" applyProtection="1">
      <alignment horizontal="right" vertical="center"/>
      <protection hidden="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6" fillId="0" borderId="0" xfId="0" applyFont="1" applyBorder="1" applyProtection="1">
      <protection hidden="1"/>
    </xf>
    <xf numFmtId="0" fontId="4" fillId="0" borderId="8" xfId="0" applyFont="1" applyBorder="1" applyAlignment="1" applyProtection="1">
      <alignment horizontal="left" vertical="center" indent="1"/>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166" fontId="4" fillId="0" borderId="0" xfId="0" applyNumberFormat="1" applyFont="1" applyBorder="1" applyAlignment="1" applyProtection="1">
      <alignment horizontal="right" vertical="center" indent="1"/>
      <protection locked="0"/>
    </xf>
    <xf numFmtId="0" fontId="4" fillId="0" borderId="1" xfId="0" applyFont="1" applyBorder="1" applyAlignment="1" applyProtection="1">
      <alignment horizontal="left" vertical="center" indent="1"/>
      <protection hidden="1"/>
    </xf>
    <xf numFmtId="0" fontId="4" fillId="0" borderId="2" xfId="0" applyFont="1" applyBorder="1" applyAlignment="1" applyProtection="1">
      <alignment horizontal="center" vertical="center"/>
      <protection hidden="1"/>
    </xf>
    <xf numFmtId="165" fontId="4" fillId="0" borderId="0" xfId="0" applyNumberFormat="1" applyFont="1" applyBorder="1" applyAlignment="1" applyProtection="1">
      <alignment horizontal="center" vertical="center" shrinkToFit="1"/>
      <protection hidden="1"/>
    </xf>
    <xf numFmtId="0" fontId="4" fillId="0" borderId="9" xfId="0" applyFont="1" applyBorder="1" applyAlignment="1" applyProtection="1">
      <alignment horizontal="left" vertical="center" indent="1"/>
      <protection hidden="1"/>
    </xf>
    <xf numFmtId="0" fontId="4" fillId="0" borderId="10"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7" fillId="0" borderId="13" xfId="0" applyFont="1" applyFill="1" applyBorder="1" applyAlignment="1" applyProtection="1">
      <alignment vertical="center"/>
      <protection hidden="1"/>
    </xf>
    <xf numFmtId="0" fontId="4" fillId="0" borderId="1" xfId="0" applyFont="1" applyFill="1" applyBorder="1" applyAlignment="1" applyProtection="1">
      <alignment horizontal="right" vertical="center"/>
      <protection hidden="1"/>
    </xf>
    <xf numFmtId="0" fontId="7" fillId="0" borderId="2" xfId="0" applyFont="1" applyFill="1" applyBorder="1" applyAlignment="1" applyProtection="1">
      <alignment vertical="center"/>
      <protection hidden="1"/>
    </xf>
    <xf numFmtId="0" fontId="4" fillId="0" borderId="13" xfId="0" applyFont="1" applyFill="1" applyBorder="1" applyAlignment="1" applyProtection="1">
      <alignment vertical="center"/>
      <protection hidden="1"/>
    </xf>
    <xf numFmtId="0" fontId="4" fillId="0" borderId="2" xfId="0" applyFont="1" applyFill="1" applyBorder="1" applyAlignment="1" applyProtection="1">
      <alignment vertical="center"/>
      <protection hidden="1"/>
    </xf>
    <xf numFmtId="0" fontId="4" fillId="0" borderId="9" xfId="0" applyFont="1" applyFill="1" applyBorder="1" applyAlignment="1" applyProtection="1">
      <alignment horizontal="right" vertical="center"/>
      <protection hidden="1"/>
    </xf>
    <xf numFmtId="0" fontId="4" fillId="0" borderId="10" xfId="0" applyFont="1" applyFill="1" applyBorder="1" applyAlignment="1" applyProtection="1">
      <alignment vertical="center"/>
      <protection hidden="1"/>
    </xf>
    <xf numFmtId="0" fontId="4" fillId="0" borderId="11" xfId="0" applyFont="1" applyFill="1" applyBorder="1" applyAlignment="1" applyProtection="1">
      <alignment vertical="center"/>
      <protection hidden="1"/>
    </xf>
    <xf numFmtId="0" fontId="4" fillId="0" borderId="1" xfId="0" applyFont="1" applyBorder="1" applyProtection="1">
      <protection hidden="1"/>
    </xf>
    <xf numFmtId="0" fontId="4" fillId="0" borderId="2" xfId="0" applyFont="1" applyBorder="1" applyProtection="1">
      <protection locked="0"/>
    </xf>
    <xf numFmtId="0" fontId="4" fillId="0" borderId="0" xfId="0" applyFont="1" applyBorder="1" applyProtection="1">
      <protection hidden="1"/>
    </xf>
    <xf numFmtId="0" fontId="4" fillId="0" borderId="13" xfId="0" applyFont="1" applyBorder="1" applyProtection="1">
      <protection hidden="1"/>
    </xf>
    <xf numFmtId="0" fontId="9" fillId="0" borderId="0" xfId="0" applyFont="1" applyBorder="1" applyProtection="1">
      <protection hidden="1"/>
    </xf>
    <xf numFmtId="0" fontId="4" fillId="0" borderId="2" xfId="0" applyFont="1" applyBorder="1" applyProtection="1">
      <protection hidden="1"/>
    </xf>
    <xf numFmtId="0" fontId="15" fillId="0" borderId="0" xfId="0" applyFont="1" applyBorder="1" applyProtection="1">
      <protection hidden="1"/>
    </xf>
    <xf numFmtId="0" fontId="8" fillId="0" borderId="0" xfId="0" applyFont="1" applyProtection="1">
      <protection hidden="1"/>
    </xf>
    <xf numFmtId="0" fontId="8" fillId="0" borderId="0" xfId="0" applyFont="1" applyBorder="1" applyProtection="1">
      <protection hidden="1"/>
    </xf>
    <xf numFmtId="0" fontId="8"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Border="1" applyAlignment="1" applyProtection="1">
      <alignment horizontal="left"/>
      <protection hidden="1"/>
    </xf>
    <xf numFmtId="0" fontId="4" fillId="0" borderId="0" xfId="0" applyFont="1" applyBorder="1" applyAlignment="1" applyProtection="1">
      <alignment horizontal="right"/>
      <protection hidden="1"/>
    </xf>
    <xf numFmtId="0" fontId="8" fillId="0" borderId="0" xfId="0" applyFont="1" applyBorder="1" applyAlignment="1" applyProtection="1">
      <alignment horizontal="left"/>
      <protection hidden="1"/>
    </xf>
    <xf numFmtId="0" fontId="4" fillId="0" borderId="10" xfId="0" applyFont="1" applyBorder="1" applyProtection="1">
      <protection hidden="1"/>
    </xf>
    <xf numFmtId="0" fontId="4" fillId="0" borderId="10" xfId="0" applyFont="1" applyBorder="1" applyAlignment="1" applyProtection="1">
      <alignment horizontal="center"/>
      <protection hidden="1"/>
    </xf>
    <xf numFmtId="0" fontId="4" fillId="0" borderId="14" xfId="0" applyFont="1" applyBorder="1" applyProtection="1">
      <protection hidden="1"/>
    </xf>
    <xf numFmtId="0" fontId="4" fillId="0" borderId="10" xfId="0" applyFont="1" applyBorder="1" applyAlignment="1" applyProtection="1">
      <alignment horizontal="right"/>
      <protection hidden="1"/>
    </xf>
    <xf numFmtId="0" fontId="4" fillId="0" borderId="11" xfId="0" applyFont="1" applyBorder="1" applyProtection="1">
      <protection hidden="1"/>
    </xf>
    <xf numFmtId="0" fontId="4" fillId="0" borderId="15" xfId="0" applyFont="1" applyBorder="1" applyAlignment="1" applyProtection="1">
      <alignment vertical="center"/>
      <protection hidden="1"/>
    </xf>
    <xf numFmtId="0" fontId="4" fillId="0" borderId="15" xfId="0" applyFont="1" applyBorder="1" applyAlignment="1" applyProtection="1">
      <alignment horizontal="right" vertical="center"/>
      <protection hidden="1"/>
    </xf>
    <xf numFmtId="0" fontId="14" fillId="0"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19" fillId="0" borderId="0" xfId="0" applyFont="1" applyFill="1" applyAlignment="1" applyProtection="1">
      <alignment vertical="center"/>
      <protection hidden="1"/>
    </xf>
    <xf numFmtId="0" fontId="17" fillId="0" borderId="0" xfId="0" applyFont="1" applyFill="1" applyBorder="1" applyAlignment="1" applyProtection="1">
      <alignment vertical="center"/>
      <protection locked="0"/>
    </xf>
    <xf numFmtId="0" fontId="14" fillId="0" borderId="0" xfId="0" applyFont="1" applyAlignment="1" applyProtection="1">
      <alignment vertical="center"/>
      <protection locked="0"/>
    </xf>
    <xf numFmtId="0" fontId="19" fillId="0" borderId="0" xfId="0" applyFont="1" applyAlignment="1" applyProtection="1">
      <alignment vertical="center"/>
      <protection locked="0"/>
    </xf>
    <xf numFmtId="0" fontId="4" fillId="12" borderId="0" xfId="0" applyFont="1" applyFill="1" applyBorder="1" applyAlignment="1" applyProtection="1">
      <alignment vertical="center"/>
      <protection locked="0"/>
    </xf>
    <xf numFmtId="0" fontId="5" fillId="12" borderId="0" xfId="0" applyFont="1" applyFill="1" applyBorder="1" applyAlignment="1" applyProtection="1">
      <alignment vertical="center"/>
      <protection locked="0"/>
    </xf>
    <xf numFmtId="0" fontId="2" fillId="0" borderId="0" xfId="0" applyFont="1" applyAlignment="1" applyProtection="1">
      <alignment vertical="center"/>
      <protection hidden="1"/>
    </xf>
    <xf numFmtId="0" fontId="8" fillId="0" borderId="15" xfId="0" applyFont="1" applyBorder="1" applyAlignment="1" applyProtection="1">
      <alignment vertical="center"/>
      <protection hidden="1"/>
    </xf>
    <xf numFmtId="0" fontId="8" fillId="13" borderId="15" xfId="0" applyFont="1" applyFill="1" applyBorder="1" applyAlignment="1" applyProtection="1">
      <alignment horizontal="center" vertical="center"/>
      <protection hidden="1"/>
    </xf>
    <xf numFmtId="0" fontId="12" fillId="0" borderId="15" xfId="0" applyFont="1" applyBorder="1" applyAlignment="1" applyProtection="1">
      <alignment horizontal="center" vertical="center"/>
      <protection locked="0"/>
    </xf>
    <xf numFmtId="0" fontId="12" fillId="0" borderId="15" xfId="0" applyFont="1" applyBorder="1" applyAlignment="1" applyProtection="1">
      <alignment vertical="center"/>
      <protection locked="0"/>
    </xf>
    <xf numFmtId="0" fontId="4" fillId="0" borderId="0" xfId="0" applyFont="1" applyBorder="1" applyAlignment="1">
      <alignment horizontal="left" vertical="center" indent="1"/>
    </xf>
    <xf numFmtId="0" fontId="4" fillId="0" borderId="0" xfId="0" applyFont="1" applyBorder="1" applyAlignment="1" applyProtection="1">
      <alignment horizontal="left" vertical="center" indent="1"/>
      <protection hidden="1"/>
    </xf>
    <xf numFmtId="0" fontId="7" fillId="2"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7" borderId="0" xfId="0" applyFont="1" applyFill="1" applyAlignment="1" applyProtection="1">
      <alignment vertical="center"/>
      <protection locked="0"/>
    </xf>
    <xf numFmtId="0" fontId="4" fillId="7" borderId="0" xfId="0" applyFont="1" applyFill="1" applyAlignment="1" applyProtection="1">
      <alignment horizontal="center" vertical="center"/>
      <protection locked="0"/>
    </xf>
    <xf numFmtId="0" fontId="4" fillId="6" borderId="0" xfId="0" applyFont="1" applyFill="1" applyAlignment="1" applyProtection="1">
      <alignment vertical="center"/>
      <protection locked="0"/>
    </xf>
    <xf numFmtId="0" fontId="4" fillId="6" borderId="0" xfId="0" applyFont="1" applyFill="1" applyAlignment="1" applyProtection="1">
      <alignment horizontal="center" vertical="center"/>
      <protection locked="0"/>
    </xf>
    <xf numFmtId="0" fontId="21" fillId="7" borderId="0" xfId="0" applyFont="1" applyFill="1" applyBorder="1" applyAlignment="1" applyProtection="1">
      <alignment horizontal="center" vertical="center"/>
      <protection locked="0"/>
    </xf>
    <xf numFmtId="0" fontId="21" fillId="7" borderId="0" xfId="0" applyFont="1" applyFill="1" applyAlignment="1" applyProtection="1">
      <alignment horizontal="center" vertical="center"/>
      <protection locked="0"/>
    </xf>
    <xf numFmtId="0" fontId="8" fillId="0" borderId="0" xfId="0" applyFont="1" applyBorder="1" applyAlignment="1" applyProtection="1">
      <alignment horizontal="center" vertical="center"/>
      <protection hidden="1"/>
    </xf>
    <xf numFmtId="0" fontId="4" fillId="0" borderId="0" xfId="0" applyFont="1"/>
    <xf numFmtId="0" fontId="11" fillId="0" borderId="12" xfId="0" applyFont="1" applyBorder="1" applyAlignment="1">
      <alignment horizontal="center" vertical="center" textRotation="255"/>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hidden="1"/>
    </xf>
    <xf numFmtId="0" fontId="4" fillId="0" borderId="0" xfId="0" applyFont="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22" fillId="0" borderId="0" xfId="1" applyFont="1" applyAlignment="1" applyProtection="1"/>
    <xf numFmtId="0" fontId="11" fillId="0" borderId="0" xfId="0" applyFont="1" applyBorder="1" applyAlignment="1">
      <alignment horizontal="center" vertical="center" textRotation="255"/>
    </xf>
    <xf numFmtId="0" fontId="11" fillId="7" borderId="12" xfId="0" applyFont="1" applyFill="1" applyBorder="1" applyAlignment="1">
      <alignment horizontal="center"/>
    </xf>
    <xf numFmtId="0" fontId="11" fillId="7" borderId="12" xfId="0" applyFont="1" applyFill="1" applyBorder="1" applyAlignment="1" applyProtection="1">
      <alignment horizontal="center"/>
      <protection locked="0"/>
    </xf>
    <xf numFmtId="0" fontId="4" fillId="15" borderId="12" xfId="0" applyFont="1" applyFill="1" applyBorder="1" applyAlignment="1" applyProtection="1">
      <alignment horizontal="center" vertical="center"/>
      <protection locked="0"/>
    </xf>
    <xf numFmtId="0" fontId="4" fillId="0" borderId="0" xfId="0" applyFont="1" applyFill="1" applyProtection="1">
      <protection hidden="1"/>
    </xf>
    <xf numFmtId="0" fontId="12" fillId="0" borderId="0" xfId="0" applyFont="1" applyFill="1" applyProtection="1">
      <protection hidden="1"/>
    </xf>
    <xf numFmtId="0" fontId="12" fillId="0" borderId="0" xfId="0" applyFont="1" applyBorder="1" applyProtection="1">
      <protection hidden="1"/>
    </xf>
    <xf numFmtId="0" fontId="8" fillId="0" borderId="0" xfId="0" applyFont="1" applyAlignment="1" applyProtection="1">
      <alignment horizontal="left"/>
      <protection hidden="1"/>
    </xf>
    <xf numFmtId="0" fontId="4" fillId="0" borderId="9" xfId="0" applyFont="1" applyBorder="1" applyProtection="1">
      <protection hidden="1"/>
    </xf>
    <xf numFmtId="0" fontId="4" fillId="6" borderId="0" xfId="0" applyFont="1" applyFill="1" applyBorder="1" applyAlignment="1" applyProtection="1">
      <alignment horizontal="left" vertical="center"/>
      <protection hidden="1"/>
    </xf>
    <xf numFmtId="0" fontId="4" fillId="7" borderId="0" xfId="0" applyFont="1" applyFill="1" applyBorder="1" applyAlignment="1" applyProtection="1">
      <alignment horizontal="left" vertical="center"/>
      <protection hidden="1"/>
    </xf>
    <xf numFmtId="0" fontId="11" fillId="16" borderId="5" xfId="0" applyFont="1" applyFill="1" applyBorder="1" applyAlignment="1">
      <alignment horizontal="left" vertical="center"/>
    </xf>
    <xf numFmtId="0" fontId="12" fillId="16" borderId="6" xfId="0" applyFont="1" applyFill="1" applyBorder="1" applyAlignment="1">
      <alignment horizontal="left" vertical="center" indent="1"/>
    </xf>
    <xf numFmtId="0" fontId="12" fillId="16" borderId="6" xfId="0" applyFont="1" applyFill="1" applyBorder="1" applyAlignment="1" applyProtection="1">
      <alignment horizontal="left" vertical="center" indent="1"/>
      <protection hidden="1"/>
    </xf>
    <xf numFmtId="0" fontId="12" fillId="16" borderId="7" xfId="0" applyFont="1" applyFill="1" applyBorder="1" applyAlignment="1">
      <alignment horizontal="left" vertical="center" indent="1"/>
    </xf>
    <xf numFmtId="0" fontId="8" fillId="16" borderId="6" xfId="0" applyFont="1" applyFill="1" applyBorder="1" applyAlignment="1">
      <alignment horizontal="left" vertical="center" indent="1"/>
    </xf>
    <xf numFmtId="0" fontId="8" fillId="16" borderId="6" xfId="0" applyFont="1" applyFill="1" applyBorder="1" applyAlignment="1" applyProtection="1">
      <alignment horizontal="left" vertical="center" indent="1"/>
      <protection hidden="1"/>
    </xf>
    <xf numFmtId="0" fontId="8" fillId="16" borderId="7" xfId="0" applyFont="1" applyFill="1" applyBorder="1" applyAlignment="1">
      <alignment horizontal="left" vertical="center" indent="1"/>
    </xf>
    <xf numFmtId="0" fontId="11" fillId="17" borderId="12" xfId="0" applyFont="1" applyFill="1" applyBorder="1" applyAlignment="1">
      <alignment horizontal="center" vertical="center" textRotation="255"/>
    </xf>
    <xf numFmtId="0" fontId="4" fillId="0" borderId="1" xfId="0" applyFont="1" applyBorder="1" applyProtection="1">
      <protection locked="0"/>
    </xf>
    <xf numFmtId="0" fontId="4" fillId="0" borderId="1" xfId="0" applyFont="1" applyFill="1" applyBorder="1" applyProtection="1">
      <protection hidden="1"/>
    </xf>
    <xf numFmtId="0" fontId="4" fillId="0" borderId="2" xfId="0" applyFont="1" applyFill="1" applyBorder="1" applyProtection="1">
      <protection hidden="1"/>
    </xf>
    <xf numFmtId="0" fontId="4" fillId="0" borderId="0" xfId="0" applyFont="1" applyFill="1" applyBorder="1" applyProtection="1">
      <protection hidden="1"/>
    </xf>
    <xf numFmtId="0" fontId="2" fillId="0" borderId="1" xfId="0" applyFont="1" applyBorder="1" applyAlignment="1" applyProtection="1">
      <alignment vertical="center"/>
      <protection hidden="1"/>
    </xf>
    <xf numFmtId="0" fontId="11" fillId="14" borderId="0" xfId="0" applyFont="1" applyFill="1" applyBorder="1"/>
    <xf numFmtId="0" fontId="11" fillId="14" borderId="0" xfId="0" applyFont="1" applyFill="1" applyBorder="1" applyAlignment="1">
      <alignment horizontal="left" vertical="center" indent="1"/>
    </xf>
    <xf numFmtId="0" fontId="11" fillId="14" borderId="0" xfId="0" applyFont="1" applyFill="1" applyBorder="1" applyAlignment="1" applyProtection="1">
      <alignment horizontal="left" vertical="center" indent="1"/>
      <protection hidden="1"/>
    </xf>
    <xf numFmtId="0" fontId="3" fillId="14" borderId="0" xfId="0" applyFont="1" applyFill="1"/>
    <xf numFmtId="0" fontId="4" fillId="15" borderId="12" xfId="0" applyFont="1" applyFill="1" applyBorder="1" applyAlignment="1" applyProtection="1">
      <alignment horizontal="left" vertical="center" indent="1"/>
      <protection locked="0"/>
    </xf>
    <xf numFmtId="0" fontId="4" fillId="0" borderId="0" xfId="1" applyFont="1" applyAlignment="1" applyProtection="1"/>
    <xf numFmtId="0" fontId="23" fillId="0" borderId="0" xfId="0" applyFont="1"/>
    <xf numFmtId="0" fontId="3" fillId="7" borderId="0" xfId="0" applyFont="1" applyFill="1"/>
    <xf numFmtId="0" fontId="3" fillId="16" borderId="6" xfId="0" applyFont="1" applyFill="1" applyBorder="1"/>
    <xf numFmtId="0" fontId="3" fillId="0" borderId="12" xfId="0" applyFont="1" applyBorder="1"/>
    <xf numFmtId="0" fontId="3" fillId="0" borderId="0" xfId="0" applyFont="1" applyAlignment="1" applyProtection="1">
      <alignment horizontal="center"/>
      <protection locked="0"/>
    </xf>
    <xf numFmtId="3" fontId="4" fillId="15" borderId="12" xfId="0" applyNumberFormat="1" applyFont="1" applyFill="1" applyBorder="1" applyAlignment="1" applyProtection="1">
      <alignment horizontal="center" vertical="center"/>
      <protection locked="0"/>
    </xf>
    <xf numFmtId="0" fontId="24" fillId="0" borderId="0" xfId="0" applyFont="1" applyFill="1" applyBorder="1" applyProtection="1">
      <protection hidden="1"/>
    </xf>
    <xf numFmtId="0" fontId="25" fillId="0" borderId="0" xfId="0" applyFont="1" applyFill="1" applyBorder="1" applyProtection="1">
      <protection hidden="1"/>
    </xf>
    <xf numFmtId="0" fontId="25" fillId="0" borderId="0" xfId="0" applyFont="1" applyFill="1" applyBorder="1" applyAlignment="1" applyProtection="1">
      <alignment horizontal="center" vertical="center"/>
      <protection hidden="1"/>
    </xf>
    <xf numFmtId="0" fontId="24" fillId="0" borderId="0" xfId="0" quotePrefix="1" applyFont="1" applyFill="1" applyBorder="1" applyProtection="1">
      <protection hidden="1"/>
    </xf>
    <xf numFmtId="0" fontId="24"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vertical="center" wrapText="1"/>
      <protection hidden="1"/>
    </xf>
    <xf numFmtId="0" fontId="25" fillId="0" borderId="0"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wrapText="1"/>
      <protection hidden="1"/>
    </xf>
    <xf numFmtId="0" fontId="24" fillId="0" borderId="0" xfId="0" applyFont="1" applyFill="1" applyBorder="1" applyAlignment="1" applyProtection="1">
      <alignment vertical="center" wrapText="1"/>
      <protection hidden="1"/>
    </xf>
    <xf numFmtId="0" fontId="25" fillId="0" borderId="0" xfId="0" applyFont="1" applyFill="1" applyBorder="1" applyAlignment="1" applyProtection="1">
      <alignment horizontal="center"/>
      <protection hidden="1"/>
    </xf>
    <xf numFmtId="0" fontId="3" fillId="0" borderId="0" xfId="0" applyFont="1" applyBorder="1"/>
    <xf numFmtId="0" fontId="16" fillId="14" borderId="0" xfId="0" applyFont="1" applyFill="1" applyAlignment="1">
      <alignment horizontal="center" vertical="center"/>
    </xf>
    <xf numFmtId="0" fontId="11" fillId="0" borderId="12" xfId="0" applyFont="1" applyBorder="1" applyAlignment="1">
      <alignment horizontal="center" vertical="center" textRotation="255"/>
    </xf>
    <xf numFmtId="0" fontId="4" fillId="0" borderId="0" xfId="0" applyFont="1" applyAlignment="1">
      <alignment horizontal="left" vertical="center" wrapText="1"/>
    </xf>
    <xf numFmtId="0" fontId="4" fillId="17" borderId="0" xfId="0" applyFont="1" applyFill="1" applyBorder="1" applyAlignment="1" applyProtection="1">
      <alignment horizontal="left" vertical="top" wrapText="1"/>
      <protection hidden="1"/>
    </xf>
    <xf numFmtId="0" fontId="8" fillId="0" borderId="0" xfId="0" applyFont="1" applyBorder="1" applyAlignment="1" applyProtection="1">
      <alignment horizontal="center" vertical="center"/>
      <protection locked="0"/>
    </xf>
    <xf numFmtId="0" fontId="17" fillId="12" borderId="5" xfId="0" applyFont="1" applyFill="1" applyBorder="1" applyAlignment="1" applyProtection="1">
      <alignment horizontal="center" vertical="center"/>
      <protection hidden="1"/>
    </xf>
    <xf numFmtId="0" fontId="17" fillId="12" borderId="6" xfId="0" applyFont="1" applyFill="1" applyBorder="1" applyAlignment="1" applyProtection="1">
      <alignment horizontal="center" vertical="center"/>
      <protection hidden="1"/>
    </xf>
    <xf numFmtId="0" fontId="17" fillId="12" borderId="7" xfId="0" applyFont="1" applyFill="1" applyBorder="1" applyAlignment="1" applyProtection="1">
      <alignment horizontal="center" vertical="center"/>
      <protection hidden="1"/>
    </xf>
    <xf numFmtId="0" fontId="7" fillId="2" borderId="8" xfId="0" applyFont="1" applyFill="1" applyBorder="1" applyAlignment="1" applyProtection="1">
      <alignment horizontal="center" vertical="center"/>
      <protection hidden="1"/>
    </xf>
    <xf numFmtId="0" fontId="7" fillId="2" borderId="3"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8" fillId="13" borderId="15"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8" borderId="0"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7" fillId="5" borderId="2" xfId="0" applyFont="1" applyFill="1" applyBorder="1" applyAlignment="1" applyProtection="1">
      <alignment horizontal="center" vertical="center"/>
      <protection locked="0"/>
    </xf>
    <xf numFmtId="0" fontId="17" fillId="5" borderId="1"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7" fillId="8"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11" borderId="1" xfId="0" applyFont="1" applyFill="1" applyBorder="1" applyAlignment="1" applyProtection="1">
      <alignment horizontal="center" vertical="center"/>
      <protection locked="0"/>
    </xf>
    <xf numFmtId="0" fontId="7" fillId="11" borderId="0" xfId="0" applyFont="1" applyFill="1" applyBorder="1" applyAlignment="1" applyProtection="1">
      <alignment horizontal="center" vertical="center"/>
      <protection locked="0"/>
    </xf>
    <xf numFmtId="0" fontId="7" fillId="11" borderId="2" xfId="0" applyFont="1" applyFill="1" applyBorder="1" applyAlignment="1" applyProtection="1">
      <alignment horizontal="center" vertical="center"/>
      <protection locked="0"/>
    </xf>
    <xf numFmtId="0" fontId="6" fillId="10" borderId="0" xfId="0" applyFont="1" applyFill="1" applyBorder="1" applyAlignment="1" applyProtection="1">
      <alignment horizontal="center" vertical="center"/>
      <protection locked="0"/>
    </xf>
    <xf numFmtId="0" fontId="7" fillId="9" borderId="1" xfId="0" applyFont="1" applyFill="1" applyBorder="1" applyAlignment="1" applyProtection="1">
      <alignment horizontal="center" vertical="center"/>
      <protection locked="0"/>
    </xf>
    <xf numFmtId="0" fontId="7" fillId="9" borderId="0" xfId="0" applyFont="1" applyFill="1" applyBorder="1" applyAlignment="1" applyProtection="1">
      <alignment horizontal="center" vertical="center"/>
      <protection locked="0"/>
    </xf>
    <xf numFmtId="0" fontId="7" fillId="9" borderId="2"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26" fillId="0" borderId="0" xfId="0" applyFont="1"/>
    <xf numFmtId="0" fontId="27" fillId="0" borderId="0" xfId="0" applyFont="1"/>
    <xf numFmtId="0" fontId="28" fillId="0" borderId="0" xfId="1" applyFont="1" applyAlignment="1" applyProtection="1"/>
    <xf numFmtId="0" fontId="26" fillId="0" borderId="0" xfId="0" applyFont="1" applyAlignment="1">
      <alignment horizontal="left"/>
    </xf>
    <xf numFmtId="0" fontId="26" fillId="0" borderId="0" xfId="0" applyFont="1" applyAlignment="1"/>
    <xf numFmtId="0" fontId="29" fillId="0" borderId="0" xfId="1" applyFont="1" applyAlignment="1" applyProtection="1">
      <alignment horizontal="left"/>
    </xf>
    <xf numFmtId="0" fontId="29" fillId="0" borderId="0" xfId="1" applyFont="1" applyAlignment="1" applyProtection="1"/>
  </cellXfs>
  <cellStyles count="2">
    <cellStyle name="Lien hypertexte" xfId="1" builtinId="8"/>
    <cellStyle name="Normal" xfId="0" builtinId="0"/>
  </cellStyles>
  <dxfs count="572">
    <dxf>
      <border>
        <left/>
        <right/>
        <top/>
        <bottom/>
      </border>
    </dxf>
    <dxf>
      <border>
        <left/>
        <right/>
        <top/>
        <bottom/>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ill>
        <patternFill>
          <bgColor indexed="41"/>
        </patternFill>
      </fill>
      <border>
        <left style="thin">
          <color indexed="64"/>
        </left>
        <right style="thin">
          <color indexed="64"/>
        </right>
        <top style="thin">
          <color indexed="64"/>
        </top>
        <bottom style="thin">
          <color indexed="64"/>
        </bottom>
      </border>
    </dxf>
    <dxf>
      <font>
        <condense val="0"/>
        <extend val="0"/>
        <color indexed="23"/>
      </font>
    </dxf>
    <dxf>
      <font>
        <b/>
        <i val="0"/>
        <condense val="0"/>
        <extend val="0"/>
        <color indexed="12"/>
      </font>
    </dxf>
    <dxf>
      <font>
        <b/>
        <i val="0"/>
        <condense val="0"/>
        <extend val="0"/>
        <color indexed="12"/>
      </font>
    </dxf>
    <dxf>
      <font>
        <condense val="0"/>
        <extend val="0"/>
        <color indexed="23"/>
      </font>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ill>
        <patternFill>
          <bgColor indexed="41"/>
        </patternFill>
      </fill>
      <border>
        <left style="thin">
          <color indexed="64"/>
        </left>
        <right style="thin">
          <color indexed="64"/>
        </right>
        <top style="thin">
          <color indexed="64"/>
        </top>
        <bottom style="thin">
          <color indexed="64"/>
        </bottom>
      </border>
    </dxf>
    <dxf>
      <font>
        <condense val="0"/>
        <extend val="0"/>
        <color indexed="23"/>
      </font>
    </dxf>
    <dxf>
      <font>
        <b/>
        <i val="0"/>
        <condense val="0"/>
        <extend val="0"/>
        <color indexed="12"/>
      </font>
    </dxf>
    <dxf>
      <font>
        <b/>
        <i val="0"/>
        <condense val="0"/>
        <extend val="0"/>
        <color indexed="12"/>
      </font>
    </dxf>
    <dxf>
      <font>
        <condense val="0"/>
        <extend val="0"/>
        <color indexed="23"/>
      </font>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ill>
        <patternFill>
          <bgColor indexed="41"/>
        </patternFill>
      </fill>
      <border>
        <left style="thin">
          <color indexed="64"/>
        </left>
        <right style="thin">
          <color indexed="64"/>
        </right>
        <top style="thin">
          <color indexed="64"/>
        </top>
        <bottom style="thin">
          <color indexed="64"/>
        </bottom>
      </border>
    </dxf>
    <dxf>
      <font>
        <condense val="0"/>
        <extend val="0"/>
        <color indexed="23"/>
      </font>
    </dxf>
    <dxf>
      <font>
        <b/>
        <i val="0"/>
        <condense val="0"/>
        <extend val="0"/>
        <color indexed="12"/>
      </font>
    </dxf>
    <dxf>
      <font>
        <b/>
        <i val="0"/>
        <condense val="0"/>
        <extend val="0"/>
        <color indexed="12"/>
      </font>
    </dxf>
    <dxf>
      <font>
        <condense val="0"/>
        <extend val="0"/>
        <color indexed="23"/>
      </font>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indexed="41"/>
        </patternFill>
      </fill>
      <border>
        <left style="thin">
          <color indexed="64"/>
        </left>
        <right style="thin">
          <color indexed="64"/>
        </right>
        <top style="thin">
          <color indexed="64"/>
        </top>
        <bottom style="thin">
          <color indexed="64"/>
        </bottom>
      </border>
    </dxf>
    <dxf>
      <font>
        <b/>
        <i val="0"/>
        <condense val="0"/>
        <extend val="0"/>
        <color indexed="12"/>
      </font>
    </dxf>
    <dxf>
      <font>
        <condense val="0"/>
        <extend val="0"/>
        <color indexed="23"/>
      </font>
    </dxf>
    <dxf>
      <font>
        <condense val="0"/>
        <extend val="0"/>
        <color indexed="23"/>
      </font>
    </dxf>
    <dxf>
      <font>
        <b/>
        <i val="0"/>
        <condense val="0"/>
        <extend val="0"/>
        <color indexed="12"/>
      </font>
    </dxf>
    <dxf>
      <font>
        <condense val="0"/>
        <extend val="0"/>
        <color indexed="23"/>
      </font>
    </dxf>
    <dxf>
      <font>
        <b/>
        <i val="0"/>
        <condense val="0"/>
        <extend val="0"/>
        <color indexed="12"/>
      </font>
    </dxf>
    <dxf>
      <font>
        <b/>
        <i val="0"/>
        <condense val="0"/>
        <extend val="0"/>
        <color indexed="12"/>
      </font>
    </dxf>
    <dxf>
      <font>
        <condense val="0"/>
        <extend val="0"/>
        <color indexed="23"/>
      </font>
    </dxf>
    <dxf>
      <font>
        <b/>
        <i val="0"/>
        <condense val="0"/>
        <extend val="0"/>
        <color indexed="12"/>
      </font>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b/>
        <i val="0"/>
        <condense val="0"/>
        <extend val="0"/>
        <color indexed="12"/>
      </font>
    </dxf>
    <dxf>
      <font>
        <condense val="0"/>
        <extend val="0"/>
        <color indexed="23"/>
      </font>
    </dxf>
    <dxf>
      <font>
        <condense val="0"/>
        <extend val="0"/>
        <color indexed="23"/>
      </font>
    </dxf>
    <dxf>
      <font>
        <b/>
        <i val="0"/>
        <condense val="0"/>
        <extend val="0"/>
        <color indexed="12"/>
      </font>
    </dxf>
    <dxf>
      <font>
        <b/>
        <i val="0"/>
        <condense val="0"/>
        <extend val="0"/>
        <color indexed="12"/>
      </font>
    </dxf>
    <dxf>
      <font>
        <color theme="1"/>
      </font>
    </dxf>
    <dxf>
      <font>
        <color theme="1"/>
      </font>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ill>
        <patternFill>
          <bgColor rgb="FFCCFFFF"/>
        </patternFill>
      </fill>
      <border>
        <left style="thin">
          <color auto="1"/>
        </left>
        <right style="thin">
          <color auto="1"/>
        </right>
        <top style="thin">
          <color auto="1"/>
        </top>
        <bottom style="thin">
          <color auto="1"/>
        </bottom>
        <vertical/>
        <horizontal/>
      </border>
    </dxf>
    <dxf>
      <fill>
        <patternFill>
          <bgColor theme="6" tint="0.59996337778862885"/>
        </patternFill>
      </fill>
      <border>
        <left/>
        <right/>
        <top/>
        <bottom/>
        <vertical/>
        <horizontal/>
      </border>
    </dxf>
    <dxf>
      <font>
        <b val="0"/>
        <i val="0"/>
        <condense val="0"/>
        <extend val="0"/>
        <color indexed="23"/>
      </font>
    </dxf>
    <dxf>
      <font>
        <b/>
        <i val="0"/>
        <condense val="0"/>
        <extend val="0"/>
        <color indexed="12"/>
      </font>
    </dxf>
    <dxf>
      <font>
        <condense val="0"/>
        <extend val="0"/>
        <color indexed="23"/>
      </font>
    </dxf>
    <dxf>
      <font>
        <b/>
        <i val="0"/>
        <condense val="0"/>
        <extend val="0"/>
        <color indexed="12"/>
      </font>
    </dxf>
    <dxf>
      <border>
        <left/>
        <right/>
        <top/>
        <bottom/>
      </border>
    </dxf>
    <dxf>
      <fill>
        <patternFill>
          <bgColor indexed="41"/>
        </patternFill>
      </fill>
      <border>
        <left style="thin">
          <color indexed="64"/>
        </left>
        <right style="thin">
          <color indexed="64"/>
        </right>
        <top style="thin">
          <color indexed="64"/>
        </top>
        <bottom style="thin">
          <color indexed="64"/>
        </bottom>
      </border>
    </dxf>
    <dxf>
      <font>
        <b/>
        <i val="0"/>
        <condense val="0"/>
        <extend val="0"/>
        <color indexed="12"/>
      </font>
    </dxf>
    <dxf>
      <font>
        <condense val="0"/>
        <extend val="0"/>
        <color indexed="23"/>
      </font>
    </dxf>
    <dxf>
      <font>
        <condense val="0"/>
        <extend val="0"/>
        <color indexed="23"/>
      </font>
    </dxf>
    <dxf>
      <font>
        <b/>
        <i val="0"/>
        <condense val="0"/>
        <extend val="0"/>
        <color indexed="12"/>
      </font>
    </dxf>
    <dxf>
      <font>
        <condense val="0"/>
        <extend val="0"/>
        <color indexed="23"/>
      </font>
    </dxf>
    <dxf>
      <font>
        <b/>
        <i val="0"/>
        <condense val="0"/>
        <extend val="0"/>
        <color indexed="12"/>
      </font>
    </dxf>
    <dxf>
      <font>
        <b/>
        <i val="0"/>
        <condense val="0"/>
        <extend val="0"/>
        <color indexed="12"/>
      </font>
    </dxf>
    <dxf>
      <font>
        <condense val="0"/>
        <extend val="0"/>
        <color indexed="23"/>
      </font>
    </dxf>
    <dxf>
      <font>
        <b/>
        <i val="0"/>
        <condense val="0"/>
        <extend val="0"/>
        <color indexed="12"/>
      </font>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theme="4" tint="0.59996337778862885"/>
        </patternFill>
      </fill>
    </dxf>
    <dxf>
      <fill>
        <patternFill>
          <bgColor theme="9" tint="0.79998168889431442"/>
        </patternFill>
      </fill>
    </dxf>
    <dxf>
      <fill>
        <patternFill>
          <bgColor theme="4" tint="0.59996337778862885"/>
        </patternFill>
      </fill>
    </dxf>
    <dxf>
      <fill>
        <patternFill>
          <bgColor theme="9" tint="0.79998168889431442"/>
        </patternFill>
      </fill>
    </dxf>
    <dxf>
      <fill>
        <patternFill>
          <bgColor theme="4" tint="0.59996337778862885"/>
        </patternFill>
      </fill>
    </dxf>
    <dxf>
      <fill>
        <patternFill>
          <bgColor theme="9" tint="0.79998168889431442"/>
        </patternFill>
      </fill>
    </dxf>
    <dxf>
      <font>
        <b/>
        <i val="0"/>
        <condense val="0"/>
        <extend val="0"/>
        <color indexed="62"/>
      </font>
    </dxf>
    <dxf>
      <fill>
        <patternFill>
          <bgColor theme="4" tint="0.59996337778862885"/>
        </patternFill>
      </fill>
    </dxf>
    <dxf>
      <font>
        <color auto="1"/>
      </font>
      <fill>
        <patternFill>
          <bgColor theme="9" tint="0.79998168889431442"/>
        </patternFill>
      </fill>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condense val="0"/>
        <extend val="0"/>
        <color indexed="61"/>
      </font>
    </dxf>
    <dxf>
      <font>
        <b/>
        <i val="0"/>
        <condense val="0"/>
        <extend val="0"/>
        <color indexed="12"/>
      </font>
    </dxf>
    <dxf>
      <font>
        <b/>
        <i val="0"/>
        <condense val="0"/>
        <extend val="0"/>
        <color indexed="61"/>
      </font>
    </dxf>
    <dxf>
      <font>
        <b/>
        <i val="0"/>
        <condense val="0"/>
        <extend val="0"/>
        <color indexed="12"/>
      </font>
    </dxf>
    <dxf>
      <font>
        <b/>
        <i val="0"/>
        <condense val="0"/>
        <extend val="0"/>
        <color indexed="61"/>
      </font>
    </dxf>
    <dxf>
      <font>
        <b/>
        <i val="0"/>
        <condense val="0"/>
        <extend val="0"/>
        <color indexed="12"/>
      </font>
    </dxf>
    <dxf>
      <font>
        <b/>
        <i val="0"/>
        <condense val="0"/>
        <extend val="0"/>
        <color indexed="61"/>
      </font>
    </dxf>
    <dxf>
      <font>
        <b/>
        <i val="0"/>
        <condense val="0"/>
        <extend val="0"/>
        <color indexed="12"/>
      </font>
    </dxf>
    <dxf>
      <fill>
        <patternFill>
          <bgColor indexed="41"/>
        </patternFill>
      </fill>
      <border>
        <left style="thin">
          <color indexed="64"/>
        </left>
        <right style="thin">
          <color indexed="64"/>
        </right>
        <top style="thin">
          <color indexed="64"/>
        </top>
        <bottom style="thin">
          <color indexed="64"/>
        </bottom>
      </border>
    </dxf>
    <dxf>
      <font>
        <b/>
        <i val="0"/>
        <condense val="0"/>
        <extend val="0"/>
        <color indexed="62"/>
      </font>
    </dxf>
    <dxf>
      <font>
        <b/>
        <i val="0"/>
        <condense val="0"/>
        <extend val="0"/>
        <color indexed="62"/>
      </font>
    </dxf>
    <dxf>
      <font>
        <color theme="9" tint="0.79998168889431442"/>
      </font>
      <fill>
        <patternFill>
          <bgColor theme="9" tint="0.79998168889431442"/>
        </patternFill>
      </fill>
    </dxf>
    <dxf>
      <fill>
        <patternFill>
          <bgColor theme="9" tint="0.79998168889431442"/>
        </patternFill>
      </fill>
    </dxf>
    <dxf>
      <font>
        <color theme="0"/>
      </font>
      <fill>
        <patternFill>
          <bgColor theme="0"/>
        </patternFill>
      </fill>
    </dxf>
    <dxf>
      <fill>
        <patternFill>
          <bgColor theme="9" tint="0.79998168889431442"/>
        </patternFill>
      </fill>
    </dxf>
    <dxf>
      <font>
        <b/>
        <i val="0"/>
        <color theme="3" tint="-0.499984740745262"/>
      </font>
      <fill>
        <patternFill>
          <bgColor theme="4" tint="0.79998168889431442"/>
        </patternFill>
      </fill>
    </dxf>
    <dxf>
      <font>
        <b/>
        <i val="0"/>
        <color theme="3" tint="-0.499984740745262"/>
      </font>
      <fill>
        <patternFill>
          <bgColor theme="9" tint="0.79998168889431442"/>
        </patternFill>
      </fill>
    </dxf>
    <dxf>
      <font>
        <b/>
        <i val="0"/>
        <condense val="0"/>
        <extend val="0"/>
        <color indexed="61"/>
      </font>
    </dxf>
    <dxf>
      <font>
        <b/>
        <i val="0"/>
        <condense val="0"/>
        <extend val="0"/>
        <color indexed="12"/>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exceltemplate.net/?utm_source=template&amp;utm_medium=tbanner&amp;utm_campaign=copyright" TargetMode="External"/><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https://exceltemplate.net/?utm_source=template&amp;utm_medium=tbanner&amp;utm_campaign=copyright" TargetMode="External"/><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386080</xdr:colOff>
      <xdr:row>3</xdr:row>
      <xdr:rowOff>83820</xdr:rowOff>
    </xdr:from>
    <xdr:to>
      <xdr:col>11</xdr:col>
      <xdr:colOff>866140</xdr:colOff>
      <xdr:row>29</xdr:row>
      <xdr:rowOff>18192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81780" y="712470"/>
          <a:ext cx="3578860" cy="5052472"/>
        </a:xfrm>
        <a:prstGeom prst="rect">
          <a:avLst/>
        </a:prstGeom>
      </xdr:spPr>
    </xdr:pic>
    <xdr:clientData/>
  </xdr:twoCellAnchor>
  <xdr:twoCellAnchor>
    <xdr:from>
      <xdr:col>5</xdr:col>
      <xdr:colOff>333187</xdr:colOff>
      <xdr:row>58</xdr:row>
      <xdr:rowOff>45297</xdr:rowOff>
    </xdr:from>
    <xdr:to>
      <xdr:col>5</xdr:col>
      <xdr:colOff>577027</xdr:colOff>
      <xdr:row>60</xdr:row>
      <xdr:rowOff>26857</xdr:rowOff>
    </xdr:to>
    <xdr:sp macro="" textlink="">
      <xdr:nvSpPr>
        <xdr:cNvPr id="3" name="Isosceles Triangle 2"/>
        <xdr:cNvSpPr/>
      </xdr:nvSpPr>
      <xdr:spPr>
        <a:xfrm rot="16200000">
          <a:off x="7261367" y="11694677"/>
          <a:ext cx="408280" cy="243840"/>
        </a:xfrm>
        <a:prstGeom prst="triangle">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28784</xdr:rowOff>
    </xdr:from>
    <xdr:to>
      <xdr:col>11</xdr:col>
      <xdr:colOff>476250</xdr:colOff>
      <xdr:row>36</xdr:row>
      <xdr:rowOff>3384</xdr:rowOff>
    </xdr:to>
    <xdr:pic>
      <xdr:nvPicPr>
        <xdr:cNvPr id="2" name="Picture 1">
          <a:hlinkClick xmlns:r="http://schemas.openxmlformats.org/officeDocument/2006/relationships" r:id="rId1"/>
          <a:extLst>
            <a:ext uri="{FF2B5EF4-FFF2-40B4-BE49-F238E27FC236}">
              <a16:creationId xmlns:a16="http://schemas.microsoft.com/office/drawing/2014/main" xmlns="" id="{96D79DA8-AC57-CE4D-AB73-6B256102EB3E}"/>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28784"/>
          <a:ext cx="9906000" cy="7086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28784</xdr:rowOff>
    </xdr:from>
    <xdr:to>
      <xdr:col>11</xdr:col>
      <xdr:colOff>476250</xdr:colOff>
      <xdr:row>36</xdr:row>
      <xdr:rowOff>3384</xdr:rowOff>
    </xdr:to>
    <xdr:pic>
      <xdr:nvPicPr>
        <xdr:cNvPr id="2" name="Picture 1">
          <a:hlinkClick xmlns:r="http://schemas.openxmlformats.org/officeDocument/2006/relationships" r:id="rId1"/>
          <a:extLst>
            <a:ext uri="{FF2B5EF4-FFF2-40B4-BE49-F238E27FC236}">
              <a16:creationId xmlns:a16="http://schemas.microsoft.com/office/drawing/2014/main" xmlns="" id="{96D79DA8-AC57-CE4D-AB73-6B256102EB3E}"/>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28784"/>
          <a:ext cx="9906000" cy="7086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uefa.com/memberassociations/uefarankings/club/index.html" TargetMode="External"/><Relationship Id="rId2"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hyperlink" Target="https://exceltemplate.net/support/" TargetMode="External"/><Relationship Id="rId2" Type="http://schemas.openxmlformats.org/officeDocument/2006/relationships/hyperlink" Target="https://exceltemplate.net/support/?utm_source=template&amp;utm_medium=tbanner&amp;utm_campaign=copyright" TargetMode="External"/><Relationship Id="rId3"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hyperlink" Target="https://exceltemplate.net/support/" TargetMode="External"/><Relationship Id="rId2" Type="http://schemas.openxmlformats.org/officeDocument/2006/relationships/hyperlink" Target="https://exceltemplate.net/support/?utm_source=template&amp;utm_medium=tbanner&amp;utm_campaign=copyright" TargetMode="External"/><Relationship Id="rId3"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XFC115"/>
  <sheetViews>
    <sheetView showGridLines="0" tabSelected="1" workbookViewId="0">
      <selection activeCell="G42" sqref="G42"/>
    </sheetView>
  </sheetViews>
  <sheetFormatPr baseColWidth="10" defaultColWidth="0" defaultRowHeight="15" x14ac:dyDescent="0"/>
  <cols>
    <col min="1" max="1" width="9.1640625" style="62" customWidth="1"/>
    <col min="2" max="2" width="22.5" style="62" customWidth="1"/>
    <col min="3" max="3" width="33.1640625" style="62" hidden="1" customWidth="1"/>
    <col min="4" max="4" width="17.5" style="62" customWidth="1"/>
    <col min="5" max="5" width="9.1640625" style="62" hidden="1" customWidth="1"/>
    <col min="6" max="10" width="9.1640625" style="62" customWidth="1"/>
    <col min="11" max="11" width="17.1640625" style="62" customWidth="1"/>
    <col min="12" max="12" width="19" style="62" customWidth="1"/>
    <col min="13" max="16383" width="9.1640625" style="62" hidden="1"/>
    <col min="16384" max="16384" width="4.1640625" style="62" customWidth="1"/>
  </cols>
  <sheetData>
    <row r="2" spans="1:12" ht="18">
      <c r="A2" s="219" t="s">
        <v>227</v>
      </c>
      <c r="B2" s="219"/>
      <c r="C2" s="219"/>
      <c r="D2" s="219"/>
      <c r="E2" s="219"/>
      <c r="F2" s="219"/>
      <c r="G2" s="219"/>
      <c r="H2" s="219"/>
      <c r="I2" s="219"/>
      <c r="J2" s="219"/>
      <c r="K2" s="219"/>
      <c r="L2" s="219"/>
    </row>
    <row r="4" spans="1:12" s="61" customFormat="1">
      <c r="A4" s="173" t="s">
        <v>196</v>
      </c>
      <c r="B4" s="173" t="s">
        <v>168</v>
      </c>
      <c r="C4" s="173" t="s">
        <v>169</v>
      </c>
      <c r="D4" s="173" t="s">
        <v>17</v>
      </c>
      <c r="E4" s="203"/>
      <c r="F4" s="174" t="s">
        <v>232</v>
      </c>
      <c r="G4" s="174" t="s">
        <v>330</v>
      </c>
    </row>
    <row r="5" spans="1:12">
      <c r="A5" s="220" t="s">
        <v>15</v>
      </c>
      <c r="B5" s="73" t="s">
        <v>347</v>
      </c>
      <c r="C5" s="200" t="s">
        <v>397</v>
      </c>
      <c r="D5" s="200" t="s">
        <v>231</v>
      </c>
      <c r="E5" s="206" t="s">
        <v>15</v>
      </c>
      <c r="F5" s="207">
        <v>23500</v>
      </c>
      <c r="G5" s="175">
        <f>COUNTIF('Group Stages'!$G$10:$M$153,'Team Setup'!B5)</f>
        <v>6</v>
      </c>
    </row>
    <row r="6" spans="1:12">
      <c r="A6" s="220"/>
      <c r="B6" s="73" t="s">
        <v>348</v>
      </c>
      <c r="C6" s="200" t="s">
        <v>398</v>
      </c>
      <c r="D6" s="200" t="s">
        <v>337</v>
      </c>
      <c r="E6" s="206" t="s">
        <v>15</v>
      </c>
      <c r="F6" s="207">
        <v>20000</v>
      </c>
      <c r="G6" s="175">
        <f>COUNTIF('Group Stages'!$G$10:$M$153,'Team Setup'!B6)</f>
        <v>6</v>
      </c>
    </row>
    <row r="7" spans="1:12">
      <c r="A7" s="220"/>
      <c r="B7" s="73" t="s">
        <v>369</v>
      </c>
      <c r="C7" s="200" t="s">
        <v>341</v>
      </c>
      <c r="D7" s="200" t="s">
        <v>211</v>
      </c>
      <c r="E7" s="206" t="s">
        <v>15</v>
      </c>
      <c r="F7" s="207">
        <v>84000</v>
      </c>
      <c r="G7" s="175">
        <f>COUNTIF('Group Stages'!$G$10:$M$153,'Team Setup'!B7)</f>
        <v>6</v>
      </c>
    </row>
    <row r="8" spans="1:12">
      <c r="A8" s="220"/>
      <c r="B8" s="73" t="s">
        <v>332</v>
      </c>
      <c r="C8" s="200" t="s">
        <v>399</v>
      </c>
      <c r="D8" s="200" t="s">
        <v>338</v>
      </c>
      <c r="E8" s="206" t="s">
        <v>15</v>
      </c>
      <c r="F8" s="207">
        <v>7250</v>
      </c>
      <c r="G8" s="175">
        <f>COUNTIF('Group Stages'!$G$10:$M$153,'Team Setup'!B8)</f>
        <v>6</v>
      </c>
    </row>
    <row r="9" spans="1:12">
      <c r="A9" s="220" t="s">
        <v>189</v>
      </c>
      <c r="B9" s="73" t="s">
        <v>349</v>
      </c>
      <c r="C9" s="200" t="s">
        <v>400</v>
      </c>
      <c r="D9" s="200" t="s">
        <v>213</v>
      </c>
      <c r="E9" s="206" t="s">
        <v>189</v>
      </c>
      <c r="F9" s="207">
        <v>54000</v>
      </c>
      <c r="G9" s="175">
        <f>COUNTIF('Group Stages'!$G$10:$M$153,'Team Setup'!B9)</f>
        <v>6</v>
      </c>
    </row>
    <row r="10" spans="1:12">
      <c r="A10" s="220"/>
      <c r="B10" s="73" t="s">
        <v>350</v>
      </c>
      <c r="C10" s="200" t="s">
        <v>318</v>
      </c>
      <c r="D10" s="200" t="s">
        <v>317</v>
      </c>
      <c r="E10" s="206" t="s">
        <v>189</v>
      </c>
      <c r="F10" s="207">
        <v>33000</v>
      </c>
      <c r="G10" s="175">
        <f>COUNTIF('Group Stages'!$G$10:$M$153,'Team Setup'!B10)</f>
        <v>6</v>
      </c>
    </row>
    <row r="11" spans="1:12">
      <c r="A11" s="220"/>
      <c r="B11" s="73" t="s">
        <v>370</v>
      </c>
      <c r="C11" s="200" t="s">
        <v>401</v>
      </c>
      <c r="D11" s="200" t="s">
        <v>230</v>
      </c>
      <c r="E11" s="206" t="s">
        <v>189</v>
      </c>
      <c r="F11" s="207">
        <v>8000</v>
      </c>
      <c r="G11" s="175">
        <f>COUNTIF('Group Stages'!$G$10:$M$153,'Team Setup'!B11)</f>
        <v>6</v>
      </c>
    </row>
    <row r="12" spans="1:12">
      <c r="A12" s="220"/>
      <c r="B12" s="73" t="s">
        <v>371</v>
      </c>
      <c r="C12" s="200" t="s">
        <v>334</v>
      </c>
      <c r="D12" s="200" t="s">
        <v>320</v>
      </c>
      <c r="E12" s="206" t="s">
        <v>189</v>
      </c>
      <c r="F12" s="207">
        <v>18000</v>
      </c>
      <c r="G12" s="175">
        <f>COUNTIF('Group Stages'!$G$10:$M$153,'Team Setup'!B12)</f>
        <v>6</v>
      </c>
    </row>
    <row r="13" spans="1:12">
      <c r="A13" s="220" t="s">
        <v>190</v>
      </c>
      <c r="B13" s="73" t="s">
        <v>351</v>
      </c>
      <c r="C13" s="200" t="s">
        <v>402</v>
      </c>
      <c r="D13" s="200" t="s">
        <v>230</v>
      </c>
      <c r="E13" s="206" t="s">
        <v>190</v>
      </c>
      <c r="F13" s="207">
        <v>46500</v>
      </c>
      <c r="G13" s="175">
        <f>COUNTIF('Group Stages'!$G$10:$M$153,'Team Setup'!B13)</f>
        <v>6</v>
      </c>
    </row>
    <row r="14" spans="1:12">
      <c r="A14" s="220"/>
      <c r="B14" s="73" t="s">
        <v>352</v>
      </c>
      <c r="C14" s="200" t="s">
        <v>403</v>
      </c>
      <c r="D14" s="200" t="s">
        <v>211</v>
      </c>
      <c r="E14" s="206" t="s">
        <v>190</v>
      </c>
      <c r="F14" s="207">
        <v>4000</v>
      </c>
      <c r="G14" s="175">
        <f>COUNTIF('Group Stages'!$G$10:$M$153,'Team Setup'!B14)</f>
        <v>6</v>
      </c>
    </row>
    <row r="15" spans="1:12">
      <c r="A15" s="220"/>
      <c r="B15" s="73" t="s">
        <v>372</v>
      </c>
      <c r="C15" s="200" t="s">
        <v>404</v>
      </c>
      <c r="D15" s="200" t="s">
        <v>220</v>
      </c>
      <c r="E15" s="206" t="s">
        <v>190</v>
      </c>
      <c r="F15" s="207">
        <v>2000</v>
      </c>
      <c r="G15" s="175">
        <f>COUNTIF('Group Stages'!$G$10:$M$153,'Team Setup'!B15)</f>
        <v>6</v>
      </c>
    </row>
    <row r="16" spans="1:12">
      <c r="A16" s="220"/>
      <c r="B16" s="73" t="s">
        <v>373</v>
      </c>
      <c r="C16" s="200" t="s">
        <v>342</v>
      </c>
      <c r="D16" s="200" t="s">
        <v>210</v>
      </c>
      <c r="E16" s="206" t="s">
        <v>190</v>
      </c>
      <c r="F16" s="207">
        <v>33500</v>
      </c>
      <c r="G16" s="175">
        <f>COUNTIF('Group Stages'!$G$10:$M$153,'Team Setup'!B16)</f>
        <v>6</v>
      </c>
    </row>
    <row r="17" spans="1:7">
      <c r="A17" s="220" t="s">
        <v>8</v>
      </c>
      <c r="B17" s="73" t="s">
        <v>353</v>
      </c>
      <c r="C17" s="200" t="s">
        <v>405</v>
      </c>
      <c r="D17" s="200" t="s">
        <v>237</v>
      </c>
      <c r="E17" s="206" t="s">
        <v>8</v>
      </c>
      <c r="F17" s="207">
        <v>7000</v>
      </c>
      <c r="G17" s="175">
        <f>COUNTIF('Group Stages'!$G$10:$M$153,'Team Setup'!B17)</f>
        <v>6</v>
      </c>
    </row>
    <row r="18" spans="1:7">
      <c r="A18" s="220"/>
      <c r="B18" s="73" t="s">
        <v>354</v>
      </c>
      <c r="C18" s="200" t="s">
        <v>406</v>
      </c>
      <c r="D18" s="200" t="s">
        <v>407</v>
      </c>
      <c r="E18" s="206" t="s">
        <v>8</v>
      </c>
      <c r="F18" s="207">
        <v>36000</v>
      </c>
      <c r="G18" s="175">
        <f>COUNTIF('Group Stages'!$G$10:$M$153,'Team Setup'!B18)</f>
        <v>6</v>
      </c>
    </row>
    <row r="19" spans="1:7">
      <c r="A19" s="220"/>
      <c r="B19" s="73" t="s">
        <v>331</v>
      </c>
      <c r="C19" s="200" t="s">
        <v>408</v>
      </c>
      <c r="D19" s="200" t="s">
        <v>212</v>
      </c>
      <c r="E19" s="206" t="s">
        <v>8</v>
      </c>
      <c r="F19" s="207">
        <v>46000</v>
      </c>
      <c r="G19" s="175">
        <f>COUNTIF('Group Stages'!$G$10:$M$153,'Team Setup'!B19)</f>
        <v>6</v>
      </c>
    </row>
    <row r="20" spans="1:7">
      <c r="A20" s="220"/>
      <c r="B20" s="73" t="s">
        <v>374</v>
      </c>
      <c r="C20" s="200" t="s">
        <v>322</v>
      </c>
      <c r="D20" s="200" t="s">
        <v>323</v>
      </c>
      <c r="E20" s="206" t="s">
        <v>8</v>
      </c>
      <c r="F20" s="207">
        <v>10500</v>
      </c>
      <c r="G20" s="175">
        <f>COUNTIF('Group Stages'!$G$10:$M$153,'Team Setup'!B20)</f>
        <v>6</v>
      </c>
    </row>
    <row r="21" spans="1:7">
      <c r="A21" s="220" t="s">
        <v>191</v>
      </c>
      <c r="B21" s="73" t="s">
        <v>355</v>
      </c>
      <c r="C21" s="200" t="s">
        <v>344</v>
      </c>
      <c r="D21" s="200" t="s">
        <v>5</v>
      </c>
      <c r="E21" s="206" t="s">
        <v>191</v>
      </c>
      <c r="F21" s="207">
        <v>12000</v>
      </c>
      <c r="G21" s="175">
        <f>COUNTIF('Group Stages'!$G$10:$M$153,'Team Setup'!B21)</f>
        <v>6</v>
      </c>
    </row>
    <row r="22" spans="1:7">
      <c r="A22" s="220"/>
      <c r="B22" s="73" t="s">
        <v>356</v>
      </c>
      <c r="C22" s="200" t="s">
        <v>409</v>
      </c>
      <c r="D22" s="200" t="s">
        <v>410</v>
      </c>
      <c r="E22" s="206" t="s">
        <v>191</v>
      </c>
      <c r="F22" s="207">
        <v>8500</v>
      </c>
      <c r="G22" s="175">
        <f>COUNTIF('Group Stages'!$G$10:$M$153,'Team Setup'!B22)</f>
        <v>6</v>
      </c>
    </row>
    <row r="23" spans="1:7">
      <c r="A23" s="220"/>
      <c r="B23" s="73" t="s">
        <v>375</v>
      </c>
      <c r="C23" s="200" t="s">
        <v>335</v>
      </c>
      <c r="D23" s="200" t="s">
        <v>336</v>
      </c>
      <c r="E23" s="206" t="s">
        <v>191</v>
      </c>
      <c r="F23" s="207">
        <v>31000</v>
      </c>
      <c r="G23" s="175">
        <f>COUNTIF('Group Stages'!$G$10:$M$153,'Team Setup'!B23)</f>
        <v>6</v>
      </c>
    </row>
    <row r="24" spans="1:7">
      <c r="A24" s="220"/>
      <c r="B24" s="73" t="s">
        <v>239</v>
      </c>
      <c r="C24" s="200" t="s">
        <v>411</v>
      </c>
      <c r="D24" s="200" t="s">
        <v>208</v>
      </c>
      <c r="E24" s="206" t="s">
        <v>191</v>
      </c>
      <c r="F24" s="207">
        <v>39000</v>
      </c>
      <c r="G24" s="175">
        <f>COUNTIF('Group Stages'!$G$10:$M$153,'Team Setup'!B24)</f>
        <v>6</v>
      </c>
    </row>
    <row r="25" spans="1:7">
      <c r="A25" s="220" t="s">
        <v>14</v>
      </c>
      <c r="B25" s="73" t="s">
        <v>333</v>
      </c>
      <c r="C25" s="200" t="s">
        <v>412</v>
      </c>
      <c r="D25" s="200" t="s">
        <v>207</v>
      </c>
      <c r="E25" s="206" t="s">
        <v>14</v>
      </c>
      <c r="F25" s="207">
        <v>28000</v>
      </c>
      <c r="G25" s="175">
        <f>COUNTIF('Group Stages'!$G$10:$M$153,'Team Setup'!B25)</f>
        <v>6</v>
      </c>
    </row>
    <row r="26" spans="1:7">
      <c r="A26" s="220"/>
      <c r="B26" s="73" t="s">
        <v>357</v>
      </c>
      <c r="C26" s="200" t="s">
        <v>343</v>
      </c>
      <c r="D26" s="200" t="s">
        <v>321</v>
      </c>
      <c r="E26" s="206" t="s">
        <v>14</v>
      </c>
      <c r="F26" s="207">
        <v>18500</v>
      </c>
      <c r="G26" s="175">
        <f>COUNTIF('Group Stages'!$G$10:$M$153,'Team Setup'!B26)</f>
        <v>6</v>
      </c>
    </row>
    <row r="27" spans="1:7">
      <c r="A27" s="220"/>
      <c r="B27" s="73" t="s">
        <v>376</v>
      </c>
      <c r="C27" s="200" t="s">
        <v>319</v>
      </c>
      <c r="D27" s="200" t="s">
        <v>209</v>
      </c>
      <c r="E27" s="206" t="s">
        <v>14</v>
      </c>
      <c r="F27" s="207">
        <v>88000</v>
      </c>
      <c r="G27" s="175">
        <f>COUNTIF('Group Stages'!$G$10:$M$153,'Team Setup'!B27)</f>
        <v>6</v>
      </c>
    </row>
    <row r="28" spans="1:7">
      <c r="A28" s="220"/>
      <c r="B28" s="73" t="s">
        <v>377</v>
      </c>
      <c r="C28" s="200" t="s">
        <v>413</v>
      </c>
      <c r="D28" s="200" t="s">
        <v>212</v>
      </c>
      <c r="E28" s="206" t="s">
        <v>14</v>
      </c>
      <c r="F28" s="207">
        <v>6000</v>
      </c>
      <c r="G28" s="175">
        <f>COUNTIF('Group Stages'!$G$10:$M$153,'Team Setup'!B28)</f>
        <v>6</v>
      </c>
    </row>
    <row r="29" spans="1:7">
      <c r="A29" s="220" t="s">
        <v>192</v>
      </c>
      <c r="B29" s="73" t="s">
        <v>358</v>
      </c>
      <c r="C29" s="200" t="s">
        <v>414</v>
      </c>
      <c r="D29" s="200" t="s">
        <v>212</v>
      </c>
      <c r="E29" s="206" t="s">
        <v>192</v>
      </c>
      <c r="F29" s="207">
        <v>71000</v>
      </c>
      <c r="G29" s="175">
        <f>COUNTIF('Group Stages'!$G$10:$M$153,'Team Setup'!B29)</f>
        <v>6</v>
      </c>
    </row>
    <row r="30" spans="1:7">
      <c r="A30" s="220"/>
      <c r="B30" s="73" t="s">
        <v>359</v>
      </c>
      <c r="C30" s="200" t="s">
        <v>339</v>
      </c>
      <c r="D30" s="200" t="s">
        <v>336</v>
      </c>
      <c r="E30" s="206" t="s">
        <v>192</v>
      </c>
      <c r="F30" s="207">
        <v>10250</v>
      </c>
      <c r="G30" s="175">
        <f>COUNTIF('Group Stages'!$G$10:$M$153,'Team Setup'!B30)</f>
        <v>6</v>
      </c>
    </row>
    <row r="31" spans="1:7">
      <c r="A31" s="220"/>
      <c r="B31" s="73" t="s">
        <v>378</v>
      </c>
      <c r="C31" s="200" t="s">
        <v>415</v>
      </c>
      <c r="D31" s="200" t="s">
        <v>230</v>
      </c>
      <c r="E31" s="206" t="s">
        <v>192</v>
      </c>
      <c r="F31" s="207">
        <v>24500</v>
      </c>
      <c r="G31" s="175">
        <f>COUNTIF('Group Stages'!$G$10:$M$153,'Team Setup'!B31)</f>
        <v>6</v>
      </c>
    </row>
    <row r="32" spans="1:7">
      <c r="A32" s="220"/>
      <c r="B32" s="73" t="s">
        <v>379</v>
      </c>
      <c r="C32" s="200" t="s">
        <v>416</v>
      </c>
      <c r="D32" s="200" t="s">
        <v>407</v>
      </c>
      <c r="E32" s="206" t="s">
        <v>192</v>
      </c>
      <c r="F32" s="207">
        <v>16000</v>
      </c>
      <c r="G32" s="175">
        <f>COUNTIF('Group Stages'!$G$10:$M$153,'Team Setup'!B32)</f>
        <v>6</v>
      </c>
    </row>
    <row r="33" spans="1:8">
      <c r="A33" s="220" t="s">
        <v>193</v>
      </c>
      <c r="B33" s="73" t="s">
        <v>360</v>
      </c>
      <c r="C33" s="200" t="s">
        <v>316</v>
      </c>
      <c r="D33" s="200" t="s">
        <v>238</v>
      </c>
      <c r="E33" s="206" t="s">
        <v>193</v>
      </c>
      <c r="F33" s="207">
        <v>24000</v>
      </c>
      <c r="G33" s="175">
        <f>COUNTIF('Group Stages'!$G$10:$M$153,'Team Setup'!B33)</f>
        <v>6</v>
      </c>
    </row>
    <row r="34" spans="1:8">
      <c r="A34" s="220"/>
      <c r="B34" s="73" t="s">
        <v>436</v>
      </c>
      <c r="C34" s="200" t="s">
        <v>417</v>
      </c>
      <c r="D34" s="200" t="s">
        <v>211</v>
      </c>
      <c r="E34" s="206" t="s">
        <v>193</v>
      </c>
      <c r="F34" s="207">
        <v>7000</v>
      </c>
      <c r="G34" s="175">
        <f>COUNTIF('Group Stages'!$G$10:$M$153,'Team Setup'!B34)</f>
        <v>6</v>
      </c>
    </row>
    <row r="35" spans="1:8">
      <c r="A35" s="220"/>
      <c r="B35" s="73" t="s">
        <v>380</v>
      </c>
      <c r="C35" s="200" t="s">
        <v>418</v>
      </c>
      <c r="D35" s="200" t="s">
        <v>210</v>
      </c>
      <c r="E35" s="206" t="s">
        <v>193</v>
      </c>
      <c r="F35" s="207">
        <v>41000</v>
      </c>
      <c r="G35" s="175">
        <f>COUNTIF('Group Stages'!$G$10:$M$153,'Team Setup'!B35)</f>
        <v>6</v>
      </c>
    </row>
    <row r="36" spans="1:8">
      <c r="A36" s="220"/>
      <c r="B36" s="73" t="s">
        <v>381</v>
      </c>
      <c r="C36" s="200" t="s">
        <v>419</v>
      </c>
      <c r="D36" s="200" t="s">
        <v>420</v>
      </c>
      <c r="E36" s="206" t="s">
        <v>193</v>
      </c>
      <c r="F36" s="207">
        <v>7000</v>
      </c>
      <c r="G36" s="175">
        <f>COUNTIF('Group Stages'!$G$10:$M$153,'Team Setup'!B36)</f>
        <v>6</v>
      </c>
      <c r="H36" s="202" t="s">
        <v>325</v>
      </c>
    </row>
    <row r="37" spans="1:8">
      <c r="A37" s="220" t="s">
        <v>234</v>
      </c>
      <c r="B37" s="73" t="s">
        <v>361</v>
      </c>
      <c r="C37" s="200" t="s">
        <v>421</v>
      </c>
      <c r="D37" s="200" t="s">
        <v>321</v>
      </c>
      <c r="E37" s="206" t="s">
        <v>234</v>
      </c>
      <c r="F37" s="207">
        <v>35500</v>
      </c>
      <c r="G37" s="175">
        <f>COUNTIF('Group Stages'!$G$10:$M$153,'Team Setup'!B37)</f>
        <v>6</v>
      </c>
      <c r="H37" s="201" t="s">
        <v>326</v>
      </c>
    </row>
    <row r="38" spans="1:8">
      <c r="A38" s="220"/>
      <c r="B38" s="73" t="s">
        <v>362</v>
      </c>
      <c r="C38" s="200" t="s">
        <v>422</v>
      </c>
      <c r="D38" s="200" t="s">
        <v>207</v>
      </c>
      <c r="E38" s="206" t="s">
        <v>234</v>
      </c>
      <c r="F38" s="207">
        <v>28000</v>
      </c>
      <c r="G38" s="175">
        <f>COUNTIF('Group Stages'!$G$10:$M$153,'Team Setup'!B38)</f>
        <v>6</v>
      </c>
      <c r="H38" s="165" t="s">
        <v>327</v>
      </c>
    </row>
    <row r="39" spans="1:8">
      <c r="A39" s="220"/>
      <c r="B39" s="73" t="s">
        <v>382</v>
      </c>
      <c r="C39" s="200" t="s">
        <v>423</v>
      </c>
      <c r="D39" s="200" t="s">
        <v>5</v>
      </c>
      <c r="E39" s="206" t="s">
        <v>234</v>
      </c>
      <c r="F39" s="207">
        <v>21000</v>
      </c>
      <c r="G39" s="175">
        <f>COUNTIF('Group Stages'!$G$10:$M$153,'Team Setup'!B39)</f>
        <v>6</v>
      </c>
      <c r="H39" s="171" t="s">
        <v>233</v>
      </c>
    </row>
    <row r="40" spans="1:8">
      <c r="A40" s="220"/>
      <c r="B40" s="73" t="s">
        <v>383</v>
      </c>
      <c r="C40" s="200" t="s">
        <v>424</v>
      </c>
      <c r="D40" s="200" t="s">
        <v>213</v>
      </c>
      <c r="E40" s="206" t="s">
        <v>234</v>
      </c>
      <c r="F40" s="207">
        <v>5500</v>
      </c>
      <c r="G40" s="175">
        <f>COUNTIF('Group Stages'!$G$10:$M$153,'Team Setup'!B40)</f>
        <v>6</v>
      </c>
      <c r="H40" s="171"/>
    </row>
    <row r="41" spans="1:8">
      <c r="A41" s="220" t="s">
        <v>235</v>
      </c>
      <c r="B41" s="73" t="s">
        <v>363</v>
      </c>
      <c r="C41" s="200" t="s">
        <v>411</v>
      </c>
      <c r="D41" s="200" t="s">
        <v>208</v>
      </c>
      <c r="E41" s="206" t="s">
        <v>235</v>
      </c>
      <c r="F41" s="207">
        <v>73000</v>
      </c>
      <c r="G41" s="175">
        <f>COUNTIF('Group Stages'!$G$10:$M$153,'Team Setup'!B41)</f>
        <v>6</v>
      </c>
      <c r="H41" s="171"/>
    </row>
    <row r="42" spans="1:8">
      <c r="A42" s="220"/>
      <c r="B42" s="73" t="s">
        <v>364</v>
      </c>
      <c r="C42" s="200" t="s">
        <v>425</v>
      </c>
      <c r="D42" s="200" t="s">
        <v>207</v>
      </c>
      <c r="E42" s="206" t="s">
        <v>235</v>
      </c>
      <c r="F42" s="207">
        <v>24000</v>
      </c>
      <c r="G42" s="175">
        <f>COUNTIF('Group Stages'!$G$10:$M$153,'Team Setup'!B42)</f>
        <v>6</v>
      </c>
      <c r="H42" s="171"/>
    </row>
    <row r="43" spans="1:8">
      <c r="A43" s="220"/>
      <c r="B43" s="73" t="s">
        <v>384</v>
      </c>
      <c r="C43" s="200" t="s">
        <v>426</v>
      </c>
      <c r="D43" s="200" t="s">
        <v>237</v>
      </c>
      <c r="E43" s="206" t="s">
        <v>235</v>
      </c>
      <c r="F43" s="207">
        <v>4000</v>
      </c>
      <c r="G43" s="175">
        <f>COUNTIF('Group Stages'!$G$10:$M$153,'Team Setup'!B43)</f>
        <v>6</v>
      </c>
      <c r="H43" s="171"/>
    </row>
    <row r="44" spans="1:8">
      <c r="A44" s="220"/>
      <c r="B44" s="73" t="s">
        <v>385</v>
      </c>
      <c r="C44" s="200" t="s">
        <v>427</v>
      </c>
      <c r="D44" s="200" t="s">
        <v>220</v>
      </c>
      <c r="E44" s="206" t="s">
        <v>235</v>
      </c>
      <c r="F44" s="207">
        <v>15500</v>
      </c>
      <c r="G44" s="175">
        <f>COUNTIF('Group Stages'!$G$10:$M$153,'Team Setup'!B44)</f>
        <v>6</v>
      </c>
      <c r="H44" s="171"/>
    </row>
    <row r="45" spans="1:8">
      <c r="A45" s="220" t="s">
        <v>236</v>
      </c>
      <c r="B45" s="73" t="s">
        <v>365</v>
      </c>
      <c r="C45" s="200" t="s">
        <v>428</v>
      </c>
      <c r="D45" s="200" t="s">
        <v>431</v>
      </c>
      <c r="E45" s="206" t="s">
        <v>236</v>
      </c>
      <c r="F45" s="207">
        <v>7000</v>
      </c>
      <c r="G45" s="175">
        <f>COUNTIF('Group Stages'!$G$10:$M$153,'Team Setup'!B45)</f>
        <v>6</v>
      </c>
      <c r="H45" s="171"/>
    </row>
    <row r="46" spans="1:8">
      <c r="A46" s="220"/>
      <c r="B46" s="73" t="s">
        <v>366</v>
      </c>
      <c r="C46" s="200" t="s">
        <v>429</v>
      </c>
      <c r="D46" s="200" t="s">
        <v>209</v>
      </c>
      <c r="E46" s="206" t="s">
        <v>236</v>
      </c>
      <c r="F46" s="207">
        <v>16235</v>
      </c>
      <c r="G46" s="175">
        <f>COUNTIF('Group Stages'!$G$10:$M$153,'Team Setup'!B46)</f>
        <v>6</v>
      </c>
      <c r="H46" s="171"/>
    </row>
    <row r="47" spans="1:8">
      <c r="A47" s="220"/>
      <c r="B47" s="73" t="s">
        <v>386</v>
      </c>
      <c r="C47" s="200" t="s">
        <v>340</v>
      </c>
      <c r="D47" s="200" t="s">
        <v>220</v>
      </c>
      <c r="E47" s="206" t="s">
        <v>236</v>
      </c>
      <c r="F47" s="207">
        <v>51000</v>
      </c>
      <c r="G47" s="175">
        <f>COUNTIF('Group Stages'!$G$10:$M$153,'Team Setup'!B47)</f>
        <v>6</v>
      </c>
      <c r="H47" s="171"/>
    </row>
    <row r="48" spans="1:8">
      <c r="A48" s="220"/>
      <c r="B48" s="73" t="s">
        <v>387</v>
      </c>
      <c r="C48" s="200" t="s">
        <v>430</v>
      </c>
      <c r="D48" s="200" t="s">
        <v>212</v>
      </c>
      <c r="E48" s="206" t="s">
        <v>236</v>
      </c>
      <c r="F48" s="207">
        <v>38000</v>
      </c>
      <c r="G48" s="175">
        <f>COUNTIF('Group Stages'!$G$10:$M$153,'Team Setup'!B48)</f>
        <v>6</v>
      </c>
      <c r="H48" s="171"/>
    </row>
    <row r="49" spans="1:11">
      <c r="A49" s="220" t="s">
        <v>9</v>
      </c>
      <c r="B49" s="73" t="s">
        <v>367</v>
      </c>
      <c r="C49" s="200" t="s">
        <v>432</v>
      </c>
      <c r="D49" s="200" t="s">
        <v>435</v>
      </c>
      <c r="E49" s="206" t="s">
        <v>9</v>
      </c>
      <c r="F49" s="207">
        <v>19000</v>
      </c>
      <c r="G49" s="175">
        <f>COUNTIF('Group Stages'!$G$10:$M$153,'Team Setup'!B49)</f>
        <v>6</v>
      </c>
      <c r="H49" s="171"/>
    </row>
    <row r="50" spans="1:11">
      <c r="A50" s="220"/>
      <c r="B50" s="73" t="s">
        <v>368</v>
      </c>
      <c r="C50" s="200" t="s">
        <v>433</v>
      </c>
      <c r="D50" s="200" t="s">
        <v>209</v>
      </c>
      <c r="E50" s="206" t="s">
        <v>9</v>
      </c>
      <c r="F50" s="207">
        <v>85000</v>
      </c>
      <c r="G50" s="175">
        <f>COUNTIF('Group Stages'!$G$10:$M$153,'Team Setup'!B50)</f>
        <v>6</v>
      </c>
      <c r="H50" s="171"/>
    </row>
    <row r="51" spans="1:11">
      <c r="A51" s="220"/>
      <c r="B51" s="73" t="s">
        <v>388</v>
      </c>
      <c r="C51" s="200" t="s">
        <v>314</v>
      </c>
      <c r="D51" s="200" t="s">
        <v>315</v>
      </c>
      <c r="E51" s="206" t="s">
        <v>9</v>
      </c>
      <c r="F51" s="207">
        <v>26000</v>
      </c>
      <c r="G51" s="175">
        <f>COUNTIF('Group Stages'!$G$10:$M$153,'Team Setup'!B51)</f>
        <v>6</v>
      </c>
    </row>
    <row r="52" spans="1:11">
      <c r="A52" s="220"/>
      <c r="B52" s="73" t="s">
        <v>389</v>
      </c>
      <c r="C52" s="200" t="s">
        <v>434</v>
      </c>
      <c r="D52" s="200" t="s">
        <v>407</v>
      </c>
      <c r="E52" s="206" t="s">
        <v>9</v>
      </c>
      <c r="F52" s="207">
        <v>16500</v>
      </c>
      <c r="G52" s="175">
        <f>COUNTIF('Group Stages'!$G$10:$M$153,'Team Setup'!B52)</f>
        <v>6</v>
      </c>
    </row>
    <row r="53" spans="1:11">
      <c r="A53" s="172"/>
      <c r="B53" s="154"/>
      <c r="C53" s="155"/>
      <c r="D53" s="154"/>
      <c r="F53" s="14"/>
      <c r="H53" s="171"/>
    </row>
    <row r="54" spans="1:11">
      <c r="A54" s="183" t="s">
        <v>256</v>
      </c>
      <c r="B54" s="184"/>
      <c r="C54" s="185"/>
      <c r="D54" s="186"/>
      <c r="E54" s="204"/>
      <c r="H54" s="171"/>
    </row>
    <row r="55" spans="1:11">
      <c r="A55" s="183" t="s">
        <v>277</v>
      </c>
      <c r="B55" s="187" t="s">
        <v>168</v>
      </c>
      <c r="C55" s="188" t="s">
        <v>169</v>
      </c>
      <c r="D55" s="189" t="s">
        <v>17</v>
      </c>
      <c r="E55" s="204"/>
      <c r="H55" s="171"/>
    </row>
    <row r="56" spans="1:11" ht="16.75" customHeight="1">
      <c r="A56" s="190">
        <v>1</v>
      </c>
      <c r="B56" s="200" t="s">
        <v>252</v>
      </c>
      <c r="C56" s="200" t="s">
        <v>261</v>
      </c>
      <c r="D56" s="200" t="s">
        <v>269</v>
      </c>
      <c r="E56" s="205"/>
      <c r="F56" s="171"/>
      <c r="G56" s="221" t="s">
        <v>324</v>
      </c>
      <c r="H56" s="221"/>
      <c r="I56" s="221"/>
      <c r="J56" s="221"/>
      <c r="K56" s="221"/>
    </row>
    <row r="57" spans="1:11">
      <c r="A57" s="190">
        <v>2</v>
      </c>
      <c r="B57" s="200" t="s">
        <v>253</v>
      </c>
      <c r="C57" s="200" t="s">
        <v>262</v>
      </c>
      <c r="D57" s="200" t="s">
        <v>270</v>
      </c>
      <c r="E57" s="205"/>
      <c r="F57" s="171"/>
      <c r="G57" s="221"/>
      <c r="H57" s="221"/>
      <c r="I57" s="221"/>
      <c r="J57" s="221"/>
      <c r="K57" s="221"/>
    </row>
    <row r="58" spans="1:11">
      <c r="A58" s="190">
        <v>3</v>
      </c>
      <c r="B58" s="200" t="s">
        <v>254</v>
      </c>
      <c r="C58" s="200" t="s">
        <v>263</v>
      </c>
      <c r="D58" s="200" t="s">
        <v>271</v>
      </c>
      <c r="E58" s="205"/>
      <c r="F58" s="171"/>
      <c r="G58" s="221"/>
      <c r="H58" s="221"/>
      <c r="I58" s="221"/>
      <c r="J58" s="221"/>
      <c r="K58" s="221"/>
    </row>
    <row r="59" spans="1:11">
      <c r="A59" s="190">
        <v>4</v>
      </c>
      <c r="B59" s="200" t="s">
        <v>255</v>
      </c>
      <c r="C59" s="200" t="s">
        <v>264</v>
      </c>
      <c r="D59" s="200" t="s">
        <v>272</v>
      </c>
      <c r="E59" s="205"/>
      <c r="F59" s="171"/>
      <c r="G59" s="221"/>
      <c r="H59" s="221"/>
      <c r="I59" s="221"/>
      <c r="J59" s="221"/>
      <c r="K59" s="221"/>
    </row>
    <row r="60" spans="1:11">
      <c r="A60" s="166">
        <v>5</v>
      </c>
      <c r="B60" s="200" t="s">
        <v>257</v>
      </c>
      <c r="C60" s="200" t="s">
        <v>265</v>
      </c>
      <c r="D60" s="200" t="s">
        <v>273</v>
      </c>
      <c r="E60" s="205"/>
      <c r="F60" s="171"/>
      <c r="G60" s="221"/>
      <c r="H60" s="221"/>
      <c r="I60" s="221"/>
      <c r="J60" s="221"/>
      <c r="K60" s="221"/>
    </row>
    <row r="61" spans="1:11">
      <c r="A61" s="166">
        <v>6</v>
      </c>
      <c r="B61" s="200" t="s">
        <v>258</v>
      </c>
      <c r="C61" s="200" t="s">
        <v>266</v>
      </c>
      <c r="D61" s="200" t="s">
        <v>274</v>
      </c>
      <c r="E61" s="205"/>
      <c r="F61" s="171"/>
      <c r="G61" s="221"/>
      <c r="H61" s="221"/>
      <c r="I61" s="221"/>
      <c r="J61" s="221"/>
      <c r="K61" s="221"/>
    </row>
    <row r="62" spans="1:11">
      <c r="A62" s="166">
        <v>7</v>
      </c>
      <c r="B62" s="200" t="s">
        <v>259</v>
      </c>
      <c r="C62" s="200" t="s">
        <v>267</v>
      </c>
      <c r="D62" s="200" t="s">
        <v>275</v>
      </c>
      <c r="E62" s="205"/>
      <c r="F62" s="171"/>
      <c r="G62" s="221"/>
      <c r="H62" s="221"/>
      <c r="I62" s="221"/>
      <c r="J62" s="221"/>
      <c r="K62" s="221"/>
    </row>
    <row r="63" spans="1:11">
      <c r="A63" s="166">
        <v>8</v>
      </c>
      <c r="B63" s="200" t="s">
        <v>260</v>
      </c>
      <c r="C63" s="200" t="s">
        <v>268</v>
      </c>
      <c r="D63" s="200" t="s">
        <v>276</v>
      </c>
      <c r="E63" s="205"/>
      <c r="F63" s="171"/>
      <c r="G63" s="221"/>
      <c r="H63" s="221"/>
      <c r="I63" s="221"/>
      <c r="J63" s="221"/>
      <c r="K63" s="221"/>
    </row>
    <row r="64" spans="1:11">
      <c r="A64" s="172"/>
      <c r="B64" s="154"/>
      <c r="C64" s="155"/>
      <c r="D64" s="154"/>
      <c r="F64" s="14"/>
      <c r="H64" s="171"/>
    </row>
    <row r="65" spans="1:12">
      <c r="A65" s="149" t="s">
        <v>345</v>
      </c>
    </row>
    <row r="66" spans="1:12">
      <c r="A66" s="196"/>
      <c r="B66" s="197"/>
      <c r="C66" s="198"/>
      <c r="D66" s="197"/>
      <c r="E66" s="196"/>
      <c r="F66" s="199"/>
      <c r="G66" s="199"/>
      <c r="H66" s="199"/>
      <c r="I66" s="199"/>
      <c r="J66" s="199"/>
      <c r="K66" s="199"/>
      <c r="L66" s="199"/>
    </row>
    <row r="67" spans="1:12">
      <c r="A67" s="65"/>
      <c r="B67" s="63"/>
      <c r="C67" s="64"/>
      <c r="D67" s="63"/>
      <c r="E67" s="65"/>
    </row>
    <row r="68" spans="1:12">
      <c r="A68" s="65"/>
      <c r="B68" s="154"/>
      <c r="C68" s="154"/>
      <c r="D68" s="154"/>
      <c r="E68" s="65"/>
    </row>
    <row r="69" spans="1:12">
      <c r="A69" s="65"/>
      <c r="B69" s="154"/>
      <c r="C69" s="155"/>
      <c r="D69" s="154"/>
      <c r="E69" s="65"/>
    </row>
    <row r="70" spans="1:12">
      <c r="A70" s="65"/>
      <c r="B70" s="154"/>
      <c r="C70" s="155"/>
      <c r="D70" s="154"/>
      <c r="E70" s="65"/>
    </row>
    <row r="71" spans="1:12">
      <c r="A71" s="65"/>
      <c r="B71" s="154"/>
      <c r="C71" s="155"/>
      <c r="D71" s="154"/>
      <c r="E71" s="65"/>
    </row>
    <row r="72" spans="1:12">
      <c r="A72" s="65"/>
      <c r="B72" s="154"/>
      <c r="C72" s="155"/>
      <c r="D72" s="154"/>
      <c r="E72" s="65"/>
    </row>
    <row r="73" spans="1:12">
      <c r="A73" s="65"/>
      <c r="B73" s="154"/>
      <c r="C73" s="154"/>
      <c r="D73" s="154"/>
      <c r="E73" s="65"/>
    </row>
    <row r="74" spans="1:12">
      <c r="A74" s="65"/>
      <c r="B74" s="154"/>
      <c r="C74" s="155"/>
      <c r="D74" s="154"/>
      <c r="E74" s="65"/>
    </row>
    <row r="75" spans="1:12">
      <c r="A75" s="65"/>
      <c r="B75" s="154"/>
      <c r="C75" s="155"/>
      <c r="D75" s="154"/>
      <c r="E75" s="65"/>
    </row>
    <row r="76" spans="1:12">
      <c r="A76" s="65"/>
      <c r="B76" s="154"/>
      <c r="C76" s="154"/>
      <c r="D76" s="154"/>
      <c r="E76" s="65"/>
    </row>
    <row r="77" spans="1:12">
      <c r="A77" s="65"/>
      <c r="B77" s="154"/>
      <c r="C77" s="155"/>
      <c r="D77" s="154"/>
      <c r="E77" s="65"/>
    </row>
    <row r="78" spans="1:12">
      <c r="A78" s="65"/>
      <c r="B78" s="154"/>
      <c r="C78" s="154"/>
      <c r="D78" s="154"/>
      <c r="E78" s="65"/>
    </row>
    <row r="79" spans="1:12">
      <c r="A79" s="65"/>
      <c r="B79" s="154"/>
      <c r="C79" s="154"/>
      <c r="D79" s="154"/>
      <c r="E79" s="65"/>
    </row>
    <row r="80" spans="1:12">
      <c r="A80" s="65"/>
      <c r="B80" s="154"/>
      <c r="C80" s="155"/>
      <c r="D80" s="154"/>
      <c r="E80" s="65"/>
    </row>
    <row r="81" spans="1:5">
      <c r="A81" s="65"/>
      <c r="B81" s="154"/>
      <c r="C81" s="155"/>
      <c r="D81" s="154"/>
      <c r="E81" s="65"/>
    </row>
    <row r="82" spans="1:5">
      <c r="A82" s="65"/>
      <c r="B82" s="154"/>
      <c r="C82" s="155"/>
      <c r="D82" s="154"/>
      <c r="E82" s="65"/>
    </row>
    <row r="83" spans="1:5">
      <c r="A83" s="65"/>
      <c r="B83" s="154"/>
      <c r="C83" s="154"/>
      <c r="D83" s="154"/>
      <c r="E83" s="65"/>
    </row>
    <row r="84" spans="1:5">
      <c r="A84" s="65"/>
      <c r="B84" s="154"/>
      <c r="C84" s="154"/>
      <c r="D84" s="154"/>
      <c r="E84" s="65"/>
    </row>
    <row r="85" spans="1:5">
      <c r="A85" s="65"/>
      <c r="B85" s="154"/>
      <c r="C85" s="154"/>
      <c r="D85" s="154"/>
      <c r="E85" s="65"/>
    </row>
    <row r="86" spans="1:5">
      <c r="A86" s="65"/>
      <c r="B86" s="154"/>
      <c r="C86" s="154"/>
      <c r="D86" s="154"/>
      <c r="E86" s="65"/>
    </row>
    <row r="87" spans="1:5">
      <c r="A87" s="65"/>
      <c r="B87" s="154"/>
      <c r="C87" s="155"/>
      <c r="D87" s="154"/>
      <c r="E87" s="65"/>
    </row>
    <row r="88" spans="1:5">
      <c r="A88" s="65"/>
      <c r="B88" s="154"/>
      <c r="C88" s="154"/>
      <c r="D88" s="154"/>
      <c r="E88" s="65"/>
    </row>
    <row r="89" spans="1:5">
      <c r="A89" s="65"/>
      <c r="B89" s="154"/>
      <c r="C89" s="155"/>
      <c r="D89" s="154"/>
      <c r="E89" s="65"/>
    </row>
    <row r="90" spans="1:5">
      <c r="A90" s="65"/>
      <c r="B90" s="154"/>
      <c r="C90" s="154"/>
      <c r="D90" s="154"/>
      <c r="E90" s="65"/>
    </row>
    <row r="91" spans="1:5">
      <c r="A91" s="65"/>
      <c r="B91" s="154"/>
      <c r="C91" s="154"/>
      <c r="D91" s="154"/>
      <c r="E91" s="65"/>
    </row>
    <row r="92" spans="1:5">
      <c r="A92" s="65"/>
      <c r="B92" s="154"/>
      <c r="C92" s="155"/>
      <c r="D92" s="154"/>
      <c r="E92" s="65"/>
    </row>
    <row r="93" spans="1:5">
      <c r="A93" s="65"/>
      <c r="B93" s="154"/>
      <c r="C93" s="154"/>
      <c r="D93" s="154"/>
      <c r="E93" s="65"/>
    </row>
    <row r="94" spans="1:5">
      <c r="A94" s="65"/>
      <c r="B94" s="154"/>
      <c r="C94" s="155"/>
      <c r="D94" s="154"/>
      <c r="E94" s="65"/>
    </row>
    <row r="95" spans="1:5">
      <c r="A95" s="65"/>
      <c r="B95" s="154"/>
      <c r="C95" s="155"/>
      <c r="D95" s="154"/>
      <c r="E95" s="65"/>
    </row>
    <row r="96" spans="1:5">
      <c r="A96" s="65"/>
      <c r="B96" s="154"/>
      <c r="C96" s="155"/>
      <c r="D96" s="154"/>
      <c r="E96" s="65"/>
    </row>
    <row r="97" spans="1:5">
      <c r="A97" s="65"/>
      <c r="B97" s="154"/>
      <c r="C97" s="155"/>
      <c r="D97" s="154"/>
      <c r="E97" s="65"/>
    </row>
    <row r="98" spans="1:5">
      <c r="A98" s="65"/>
      <c r="B98" s="154"/>
      <c r="C98" s="155"/>
      <c r="D98" s="154"/>
      <c r="E98" s="65"/>
    </row>
    <row r="99" spans="1:5">
      <c r="A99" s="65"/>
      <c r="B99" s="154"/>
      <c r="C99" s="155"/>
      <c r="D99" s="154"/>
      <c r="E99" s="65"/>
    </row>
    <row r="100" spans="1:5">
      <c r="A100" s="218"/>
      <c r="B100" s="218"/>
      <c r="C100" s="218"/>
      <c r="D100" s="65"/>
      <c r="E100" s="65"/>
    </row>
    <row r="101" spans="1:5">
      <c r="A101" s="218"/>
      <c r="B101" s="218"/>
      <c r="C101" s="218"/>
      <c r="D101" s="65"/>
      <c r="E101" s="65"/>
    </row>
    <row r="102" spans="1:5">
      <c r="A102" s="218"/>
      <c r="B102" s="218"/>
      <c r="C102" s="218"/>
      <c r="D102" s="65"/>
      <c r="E102" s="65"/>
    </row>
    <row r="103" spans="1:5">
      <c r="A103" s="218"/>
      <c r="B103" s="218"/>
      <c r="C103" s="218"/>
      <c r="D103" s="65"/>
      <c r="E103" s="65"/>
    </row>
    <row r="104" spans="1:5">
      <c r="A104" s="218"/>
      <c r="B104" s="218"/>
      <c r="C104" s="218"/>
      <c r="D104" s="65"/>
      <c r="E104" s="65"/>
    </row>
    <row r="105" spans="1:5">
      <c r="A105" s="218"/>
      <c r="B105" s="218"/>
      <c r="C105" s="218"/>
      <c r="D105" s="65"/>
      <c r="E105" s="65"/>
    </row>
    <row r="106" spans="1:5">
      <c r="A106" s="218"/>
      <c r="B106" s="218"/>
      <c r="C106" s="218"/>
      <c r="D106" s="65"/>
      <c r="E106" s="65"/>
    </row>
    <row r="107" spans="1:5">
      <c r="A107" s="218"/>
      <c r="B107" s="218"/>
      <c r="C107" s="218"/>
      <c r="D107" s="65"/>
      <c r="E107" s="65"/>
    </row>
    <row r="108" spans="1:5">
      <c r="A108" s="218"/>
      <c r="B108" s="218"/>
      <c r="C108" s="218"/>
      <c r="D108" s="65"/>
      <c r="E108" s="65"/>
    </row>
    <row r="109" spans="1:5">
      <c r="A109" s="218"/>
      <c r="B109" s="218"/>
      <c r="C109" s="218"/>
      <c r="D109" s="65"/>
      <c r="E109" s="65"/>
    </row>
    <row r="110" spans="1:5">
      <c r="A110" s="218"/>
      <c r="B110" s="218"/>
      <c r="C110" s="218"/>
      <c r="D110" s="65"/>
      <c r="E110" s="65"/>
    </row>
    <row r="111" spans="1:5">
      <c r="A111" s="218"/>
      <c r="B111" s="218"/>
      <c r="C111" s="218"/>
      <c r="D111" s="65"/>
      <c r="E111" s="65"/>
    </row>
    <row r="112" spans="1:5">
      <c r="A112" s="218"/>
      <c r="B112" s="218"/>
      <c r="C112" s="218"/>
      <c r="D112" s="65"/>
      <c r="E112" s="65"/>
    </row>
    <row r="113" spans="1:5">
      <c r="A113" s="218"/>
      <c r="B113" s="218"/>
      <c r="C113" s="218"/>
      <c r="D113" s="65"/>
      <c r="E113" s="65"/>
    </row>
    <row r="114" spans="1:5">
      <c r="A114" s="218"/>
      <c r="B114" s="218"/>
      <c r="C114" s="218"/>
      <c r="D114" s="65"/>
      <c r="E114" s="65"/>
    </row>
    <row r="115" spans="1:5">
      <c r="A115" s="218"/>
      <c r="B115" s="218"/>
      <c r="C115" s="218"/>
      <c r="D115" s="65"/>
      <c r="E115" s="65"/>
    </row>
  </sheetData>
  <autoFilter ref="A4:G52"/>
  <mergeCells count="14">
    <mergeCell ref="A37:A40"/>
    <mergeCell ref="A41:A44"/>
    <mergeCell ref="A45:A48"/>
    <mergeCell ref="A49:A52"/>
    <mergeCell ref="G56:K63"/>
    <mergeCell ref="A2:L2"/>
    <mergeCell ref="A29:A32"/>
    <mergeCell ref="A33:A36"/>
    <mergeCell ref="A5:A8"/>
    <mergeCell ref="A9:A12"/>
    <mergeCell ref="A13:A16"/>
    <mergeCell ref="A17:A20"/>
    <mergeCell ref="A21:A24"/>
    <mergeCell ref="A25:A28"/>
  </mergeCells>
  <phoneticPr fontId="1" type="noConversion"/>
  <hyperlinks>
    <hyperlink ref="H39" r:id="rId1"/>
  </hyperlinks>
  <pageMargins left="0.75" right="0.75" top="1" bottom="1" header="0.5" footer="0.5"/>
  <pageSetup scale="70" orientation="landscape" horizontalDpi="0" verticalDpi="0"/>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DC157"/>
  <sheetViews>
    <sheetView showGridLines="0" zoomScale="90" zoomScaleNormal="90" zoomScalePageLayoutView="90" workbookViewId="0">
      <selection activeCell="M4" sqref="M4"/>
    </sheetView>
  </sheetViews>
  <sheetFormatPr baseColWidth="10" defaultColWidth="0" defaultRowHeight="14" zeroHeight="1" x14ac:dyDescent="0"/>
  <cols>
    <col min="1" max="3" width="2.5" style="76" customWidth="1"/>
    <col min="4" max="5" width="7.5" style="76" customWidth="1"/>
    <col min="6" max="6" width="20" style="76" bestFit="1" customWidth="1"/>
    <col min="7" max="7" width="25.83203125" style="76" customWidth="1"/>
    <col min="8" max="8" width="1.6640625" style="76" customWidth="1"/>
    <col min="9" max="9" width="4.6640625" style="76" customWidth="1"/>
    <col min="10" max="10" width="2.6640625" style="77" customWidth="1"/>
    <col min="11" max="11" width="4.6640625" style="76" customWidth="1"/>
    <col min="12" max="12" width="1.6640625" style="76" customWidth="1"/>
    <col min="13" max="13" width="25.83203125" style="76" customWidth="1"/>
    <col min="14" max="14" width="32.6640625" style="76" bestFit="1" customWidth="1"/>
    <col min="15" max="17" width="2.5" style="76" customWidth="1"/>
    <col min="18" max="18" width="3.6640625" style="78" customWidth="1"/>
    <col min="19" max="19" width="23.83203125" style="76" customWidth="1"/>
    <col min="20" max="23" width="7.6640625" style="76" customWidth="1"/>
    <col min="24" max="24" width="9.1640625" style="76" customWidth="1"/>
    <col min="25" max="25" width="7.6640625" style="76" customWidth="1"/>
    <col min="26" max="28" width="2.5" style="76" customWidth="1"/>
    <col min="29" max="29" width="0" style="79" hidden="1" customWidth="1"/>
    <col min="30" max="30" width="11.83203125" style="79" hidden="1" customWidth="1"/>
    <col min="31" max="31" width="14.6640625" style="76" hidden="1" customWidth="1"/>
    <col min="32" max="107" width="0" style="76" hidden="1" customWidth="1"/>
    <col min="108" max="16384" width="9.1640625" style="76" hidden="1"/>
  </cols>
  <sheetData>
    <row r="1" spans="2:107">
      <c r="AE1" s="80"/>
    </row>
    <row r="2" spans="2:107" s="141" customFormat="1" ht="22.5" customHeight="1">
      <c r="B2" s="224" t="s">
        <v>221</v>
      </c>
      <c r="C2" s="225"/>
      <c r="D2" s="225"/>
      <c r="E2" s="225"/>
      <c r="F2" s="225"/>
      <c r="G2" s="225"/>
      <c r="H2" s="225"/>
      <c r="I2" s="225"/>
      <c r="J2" s="225"/>
      <c r="K2" s="225"/>
      <c r="L2" s="225"/>
      <c r="M2" s="225"/>
      <c r="N2" s="225"/>
      <c r="O2" s="225"/>
      <c r="P2" s="225"/>
      <c r="Q2" s="225"/>
      <c r="R2" s="225"/>
      <c r="S2" s="225"/>
      <c r="T2" s="225"/>
      <c r="U2" s="225"/>
      <c r="V2" s="225"/>
      <c r="W2" s="225"/>
      <c r="X2" s="225"/>
      <c r="Y2" s="225"/>
      <c r="Z2" s="225"/>
      <c r="AA2" s="226"/>
      <c r="AC2" s="142"/>
      <c r="AD2" s="142"/>
      <c r="DB2" s="143"/>
      <c r="DC2" s="143"/>
    </row>
    <row r="3" spans="2:107" ht="15" thickBot="1">
      <c r="B3" s="149"/>
      <c r="DB3" s="80"/>
      <c r="DC3" s="80"/>
    </row>
    <row r="4" spans="2:107" s="81" customFormat="1" ht="16" thickTop="1" thickBot="1">
      <c r="B4" s="150" t="s">
        <v>224</v>
      </c>
      <c r="C4" s="139"/>
      <c r="D4" s="139"/>
      <c r="E4" s="139"/>
      <c r="F4" s="139"/>
      <c r="G4" s="150" t="s">
        <v>225</v>
      </c>
      <c r="H4" s="233" t="s">
        <v>329</v>
      </c>
      <c r="I4" s="233"/>
      <c r="J4" s="151" t="s">
        <v>226</v>
      </c>
      <c r="K4" s="152" t="s">
        <v>235</v>
      </c>
      <c r="L4" s="150" t="s">
        <v>226</v>
      </c>
      <c r="M4" s="153" t="s">
        <v>368</v>
      </c>
      <c r="N4" s="139"/>
      <c r="O4" s="139"/>
      <c r="P4" s="139"/>
      <c r="Q4" s="139"/>
      <c r="R4" s="140"/>
      <c r="S4" s="139"/>
      <c r="T4" s="139"/>
      <c r="U4" s="139"/>
      <c r="V4" s="139"/>
      <c r="W4" s="139"/>
      <c r="X4" s="139"/>
      <c r="Y4" s="139"/>
      <c r="Z4" s="139"/>
      <c r="AA4" s="139"/>
      <c r="AC4" s="82"/>
      <c r="AD4" s="82"/>
      <c r="DB4" s="83"/>
      <c r="DC4" s="83"/>
    </row>
    <row r="5" spans="2:107" s="81" customFormat="1" ht="15" customHeight="1" thickTop="1">
      <c r="B5" s="84"/>
      <c r="C5" s="85"/>
      <c r="D5" s="85"/>
      <c r="E5" s="85"/>
      <c r="F5" s="85"/>
      <c r="G5" s="85"/>
      <c r="H5" s="85"/>
      <c r="I5" s="85"/>
      <c r="J5" s="23"/>
      <c r="K5" s="85"/>
      <c r="L5" s="85"/>
      <c r="M5" s="85"/>
      <c r="N5" s="85"/>
      <c r="O5" s="85"/>
      <c r="P5" s="85"/>
      <c r="Q5" s="86"/>
      <c r="R5" s="44"/>
      <c r="S5" s="85"/>
      <c r="T5" s="85"/>
      <c r="U5" s="85"/>
      <c r="V5" s="85"/>
      <c r="W5" s="85"/>
      <c r="X5" s="85"/>
      <c r="Y5" s="85"/>
      <c r="Z5" s="85"/>
      <c r="AA5" s="87"/>
      <c r="AC5" s="82"/>
      <c r="AD5" s="82"/>
      <c r="DB5" s="83"/>
      <c r="DC5" s="83"/>
    </row>
    <row r="6" spans="2:107" s="81" customFormat="1" ht="15" customHeight="1">
      <c r="B6" s="84"/>
      <c r="C6" s="230" t="s">
        <v>20</v>
      </c>
      <c r="D6" s="231"/>
      <c r="E6" s="231"/>
      <c r="F6" s="231"/>
      <c r="G6" s="231"/>
      <c r="H6" s="231"/>
      <c r="I6" s="231"/>
      <c r="J6" s="231"/>
      <c r="K6" s="231"/>
      <c r="L6" s="231"/>
      <c r="M6" s="231"/>
      <c r="N6" s="231"/>
      <c r="O6" s="232"/>
      <c r="P6" s="88"/>
      <c r="Q6" s="86"/>
      <c r="R6" s="227" t="s">
        <v>21</v>
      </c>
      <c r="S6" s="228"/>
      <c r="T6" s="228"/>
      <c r="U6" s="228"/>
      <c r="V6" s="228"/>
      <c r="W6" s="228"/>
      <c r="X6" s="228"/>
      <c r="Y6" s="228"/>
      <c r="Z6" s="229"/>
      <c r="AA6" s="87"/>
      <c r="AC6" s="82"/>
      <c r="AD6" s="82"/>
      <c r="DB6" s="83" t="s">
        <v>18</v>
      </c>
      <c r="DC6" s="83" t="s">
        <v>163</v>
      </c>
    </row>
    <row r="7" spans="2:107" s="81" customFormat="1" ht="15" customHeight="1">
      <c r="B7" s="84"/>
      <c r="C7" s="7"/>
      <c r="D7" s="6"/>
      <c r="E7" s="6"/>
      <c r="F7" s="6"/>
      <c r="G7" s="6"/>
      <c r="H7" s="6"/>
      <c r="I7" s="6"/>
      <c r="J7" s="169"/>
      <c r="K7" s="6"/>
      <c r="L7" s="6"/>
      <c r="M7" s="6"/>
      <c r="N7" s="6"/>
      <c r="O7" s="9"/>
      <c r="P7" s="85"/>
      <c r="Q7" s="86"/>
      <c r="R7" s="89"/>
      <c r="S7" s="90"/>
      <c r="T7" s="90"/>
      <c r="U7" s="90"/>
      <c r="V7" s="90"/>
      <c r="W7" s="90"/>
      <c r="X7" s="90"/>
      <c r="Y7" s="90"/>
      <c r="Z7" s="91"/>
      <c r="AA7" s="87"/>
      <c r="AC7" s="82"/>
      <c r="AD7" s="82"/>
      <c r="DB7" s="83"/>
      <c r="DC7" s="83"/>
    </row>
    <row r="8" spans="2:107" s="81" customFormat="1" ht="15" customHeight="1">
      <c r="B8" s="84"/>
      <c r="C8" s="7"/>
      <c r="D8" s="167" t="s">
        <v>16</v>
      </c>
      <c r="E8" s="167" t="s">
        <v>196</v>
      </c>
      <c r="F8" s="167" t="s">
        <v>216</v>
      </c>
      <c r="G8" s="93" t="s">
        <v>170</v>
      </c>
      <c r="H8" s="167"/>
      <c r="I8" s="223" t="s">
        <v>3</v>
      </c>
      <c r="J8" s="223"/>
      <c r="K8" s="223"/>
      <c r="L8" s="167"/>
      <c r="M8" s="94" t="s">
        <v>171</v>
      </c>
      <c r="N8" s="167" t="s">
        <v>187</v>
      </c>
      <c r="O8" s="9"/>
      <c r="P8" s="85"/>
      <c r="Q8" s="86"/>
      <c r="R8" s="95"/>
      <c r="S8" s="96" t="s">
        <v>6</v>
      </c>
      <c r="T8" s="97" t="s">
        <v>53</v>
      </c>
      <c r="U8" s="97" t="s">
        <v>7</v>
      </c>
      <c r="V8" s="97" t="s">
        <v>8</v>
      </c>
      <c r="W8" s="97" t="s">
        <v>9</v>
      </c>
      <c r="X8" s="97" t="s">
        <v>10</v>
      </c>
      <c r="Y8" s="98" t="s">
        <v>54</v>
      </c>
      <c r="Z8" s="87"/>
      <c r="AA8" s="87"/>
      <c r="AC8" s="82"/>
      <c r="AD8" s="82"/>
      <c r="DB8" s="99" t="s">
        <v>39</v>
      </c>
      <c r="DC8" s="100" t="s">
        <v>55</v>
      </c>
    </row>
    <row r="9" spans="2:107" s="81" customFormat="1" ht="15" customHeight="1">
      <c r="B9" s="84"/>
      <c r="C9" s="7"/>
      <c r="D9" s="167" t="s">
        <v>202</v>
      </c>
      <c r="E9" s="167"/>
      <c r="F9" s="6"/>
      <c r="G9" s="6"/>
      <c r="H9" s="6"/>
      <c r="I9" s="6"/>
      <c r="J9" s="6"/>
      <c r="K9" s="6"/>
      <c r="L9" s="6"/>
      <c r="M9" s="6"/>
      <c r="N9" s="6"/>
      <c r="O9" s="9"/>
      <c r="P9" s="85"/>
      <c r="Q9" s="86"/>
      <c r="R9" s="95"/>
      <c r="S9" s="101" t="str">
        <f>VLOOKUP(1,'Dummy Table'!$DG$4:$DH$7,2,FALSE)</f>
        <v>Sevilla FC</v>
      </c>
      <c r="T9" s="102">
        <f>SUM(U9:W9)</f>
        <v>4</v>
      </c>
      <c r="U9" s="102">
        <f>SUMIF('Dummy Table'!B$4:B$7,'Group Stages'!S9,'Dummy Table'!Q$4:Q$7)</f>
        <v>4</v>
      </c>
      <c r="V9" s="102">
        <f>SUMIF('Dummy Table'!B$4:B$7,'Group Stages'!S9,'Dummy Table'!R$4:R$7)</f>
        <v>0</v>
      </c>
      <c r="W9" s="102">
        <f>SUMIF('Dummy Table'!B$4:B$7,'Group Stages'!S9,'Dummy Table'!S$4:S$7)</f>
        <v>0</v>
      </c>
      <c r="X9" s="102" t="str">
        <f>CONCATENATE(SUMIF('Dummy Table'!B$4:B$7,'Group Stages'!S9,'Dummy Table'!T$4:T$7)," - ",SUMIF('Dummy Table'!B$4:B$7,'Group Stages'!S9,'Dummy Table'!U$4:U$7))</f>
        <v>0 - 0</v>
      </c>
      <c r="Y9" s="103">
        <f>U9*3+V9*1</f>
        <v>12</v>
      </c>
      <c r="Z9" s="87"/>
      <c r="AA9" s="87"/>
      <c r="AC9" s="82"/>
      <c r="AD9" s="82"/>
      <c r="DB9" s="99" t="s">
        <v>48</v>
      </c>
      <c r="DC9" s="100" t="s">
        <v>56</v>
      </c>
    </row>
    <row r="10" spans="2:107" s="81" customFormat="1" ht="15" customHeight="1">
      <c r="B10" s="84"/>
      <c r="C10" s="7"/>
      <c r="D10" s="169">
        <v>1</v>
      </c>
      <c r="E10" s="169" t="s">
        <v>15</v>
      </c>
      <c r="F10" s="104">
        <v>43727</v>
      </c>
      <c r="G10" s="26" t="s">
        <v>347</v>
      </c>
      <c r="H10" s="6"/>
      <c r="I10" s="14" t="s">
        <v>390</v>
      </c>
      <c r="J10" s="14" t="s">
        <v>4</v>
      </c>
      <c r="K10" s="14" t="s">
        <v>395</v>
      </c>
      <c r="L10" s="6"/>
      <c r="M10" s="34" t="s">
        <v>332</v>
      </c>
      <c r="N10" s="34" t="str">
        <f>VLOOKUP(G10,'Team Setup'!$B$5:$C$52,2,FALSE)</f>
        <v>Stadion GSP</v>
      </c>
      <c r="O10" s="9"/>
      <c r="P10" s="85"/>
      <c r="Q10" s="86"/>
      <c r="R10" s="95"/>
      <c r="S10" s="105" t="str">
        <f>VLOOKUP(2,'Dummy Table'!$DG$4:$DH$7,2,FALSE)</f>
        <v>APOEL Nikosia</v>
      </c>
      <c r="T10" s="23">
        <f>SUM(U10:W10)</f>
        <v>4</v>
      </c>
      <c r="U10" s="23">
        <f>SUMIF('Dummy Table'!B$4:B$7,'Group Stages'!S10,'Dummy Table'!Q$4:Q$7)</f>
        <v>1</v>
      </c>
      <c r="V10" s="23">
        <f>SUMIF('Dummy Table'!B$4:B$7,'Group Stages'!S10,'Dummy Table'!R$4:R$7)</f>
        <v>1</v>
      </c>
      <c r="W10" s="23">
        <f>SUMIF('Dummy Table'!B$4:B$7,'Group Stages'!S10,'Dummy Table'!S$4:S$7)</f>
        <v>2</v>
      </c>
      <c r="X10" s="23" t="str">
        <f>CONCATENATE(SUMIF('Dummy Table'!B$4:B$7,'Group Stages'!S10,'Dummy Table'!T$4:T$7)," - ",SUMIF('Dummy Table'!B$4:B$7,'Group Stages'!S10,'Dummy Table'!U$4:U$7))</f>
        <v>0 - 0</v>
      </c>
      <c r="Y10" s="106">
        <f>U10*3+V10*1</f>
        <v>4</v>
      </c>
      <c r="Z10" s="87"/>
      <c r="AA10" s="87"/>
      <c r="AC10" s="82" t="str">
        <f>D10&amp;G10</f>
        <v>1APOEL Nikosia</v>
      </c>
      <c r="AD10" s="82" t="str">
        <f>D10&amp;M10</f>
        <v>1F91 Dudelange</v>
      </c>
      <c r="AF10" s="107"/>
      <c r="DB10" s="99" t="s">
        <v>46</v>
      </c>
      <c r="DC10" s="100" t="s">
        <v>57</v>
      </c>
    </row>
    <row r="11" spans="2:107" s="81" customFormat="1" ht="15" customHeight="1">
      <c r="B11" s="84"/>
      <c r="C11" s="7"/>
      <c r="D11" s="169">
        <v>1</v>
      </c>
      <c r="E11" s="169" t="s">
        <v>15</v>
      </c>
      <c r="F11" s="104">
        <v>43727</v>
      </c>
      <c r="G11" s="26" t="s">
        <v>348</v>
      </c>
      <c r="H11" s="6"/>
      <c r="I11" s="14" t="s">
        <v>391</v>
      </c>
      <c r="J11" s="14" t="s">
        <v>4</v>
      </c>
      <c r="K11" s="14" t="s">
        <v>390</v>
      </c>
      <c r="L11" s="6"/>
      <c r="M11" s="34" t="s">
        <v>369</v>
      </c>
      <c r="N11" s="34" t="str">
        <f>VLOOKUP(G11,'Team Setup'!$B$5:$C$52,2,FALSE)</f>
        <v>Tofiq Bahramov Republican Stadium</v>
      </c>
      <c r="O11" s="9"/>
      <c r="P11" s="85"/>
      <c r="Q11" s="86"/>
      <c r="R11" s="95"/>
      <c r="S11" s="105" t="str">
        <f>VLOOKUP(3,'Dummy Table'!$DG$4:$DH$7,2,FALSE)</f>
        <v>Qarabağ FK</v>
      </c>
      <c r="T11" s="23">
        <f>SUM(U11:W11)</f>
        <v>4</v>
      </c>
      <c r="U11" s="23">
        <f>SUMIF('Dummy Table'!B$4:B$7,'Group Stages'!S11,'Dummy Table'!Q$4:Q$7)</f>
        <v>1</v>
      </c>
      <c r="V11" s="23">
        <f>SUMIF('Dummy Table'!B$4:B$7,'Group Stages'!S11,'Dummy Table'!R$4:R$7)</f>
        <v>1</v>
      </c>
      <c r="W11" s="23">
        <f>SUMIF('Dummy Table'!B$4:B$7,'Group Stages'!S11,'Dummy Table'!S$4:S$7)</f>
        <v>2</v>
      </c>
      <c r="X11" s="23" t="str">
        <f>CONCATENATE(SUMIF('Dummy Table'!B$4:B$7,'Group Stages'!S11,'Dummy Table'!T$4:T$7)," - ",SUMIF('Dummy Table'!B$4:B$7,'Group Stages'!S11,'Dummy Table'!U$4:U$7))</f>
        <v>0 - 0</v>
      </c>
      <c r="Y11" s="106">
        <f>U11*3+V11*1</f>
        <v>4</v>
      </c>
      <c r="Z11" s="87"/>
      <c r="AA11" s="87"/>
      <c r="AC11" s="82" t="str">
        <f t="shared" ref="AC11:AC74" si="0">D11&amp;G11</f>
        <v>1Qarabağ FK</v>
      </c>
      <c r="AD11" s="82" t="str">
        <f t="shared" ref="AD11:AD74" si="1">D11&amp;M11</f>
        <v>1Sevilla FC</v>
      </c>
      <c r="AF11" s="107"/>
      <c r="DB11" s="99" t="s">
        <v>40</v>
      </c>
      <c r="DC11" s="100" t="s">
        <v>58</v>
      </c>
    </row>
    <row r="12" spans="2:107" s="81" customFormat="1" ht="15" customHeight="1">
      <c r="B12" s="84"/>
      <c r="C12" s="7"/>
      <c r="D12" s="169">
        <v>1</v>
      </c>
      <c r="E12" s="169" t="s">
        <v>189</v>
      </c>
      <c r="F12" s="104">
        <v>43727</v>
      </c>
      <c r="G12" s="26" t="s">
        <v>349</v>
      </c>
      <c r="H12" s="6"/>
      <c r="I12" s="14" t="s">
        <v>392</v>
      </c>
      <c r="J12" s="14" t="s">
        <v>4</v>
      </c>
      <c r="K12" s="14" t="s">
        <v>391</v>
      </c>
      <c r="L12" s="6"/>
      <c r="M12" s="34" t="s">
        <v>371</v>
      </c>
      <c r="N12" s="34" t="str">
        <f>VLOOKUP(G12,'Team Setup'!$B$5:$C$52,2,FALSE)</f>
        <v>NSC Olimpiyskiy Stadium</v>
      </c>
      <c r="O12" s="9"/>
      <c r="P12" s="85"/>
      <c r="Q12" s="86"/>
      <c r="R12" s="95"/>
      <c r="S12" s="108" t="str">
        <f>VLOOKUP(4,'Dummy Table'!$DG$4:$DH$7,2,FALSE)</f>
        <v>F91 Dudelange</v>
      </c>
      <c r="T12" s="109">
        <f>SUM(U12:W12)</f>
        <v>4</v>
      </c>
      <c r="U12" s="109">
        <f>SUMIF('Dummy Table'!B$4:B$7,'Group Stages'!S12,'Dummy Table'!Q$4:Q$7)</f>
        <v>1</v>
      </c>
      <c r="V12" s="109">
        <f>SUMIF('Dummy Table'!B$4:B$7,'Group Stages'!S12,'Dummy Table'!R$4:R$7)</f>
        <v>0</v>
      </c>
      <c r="W12" s="109">
        <f>SUMIF('Dummy Table'!B$4:B$7,'Group Stages'!S12,'Dummy Table'!S$4:S$7)</f>
        <v>3</v>
      </c>
      <c r="X12" s="109" t="str">
        <f>CONCATENATE(SUMIF('Dummy Table'!B$4:B$7,'Group Stages'!S12,'Dummy Table'!T$4:T$7)," - ",SUMIF('Dummy Table'!B$4:B$7,'Group Stages'!S12,'Dummy Table'!U$4:U$7))</f>
        <v>0 - 0</v>
      </c>
      <c r="Y12" s="110">
        <f>U12*3+V12*1</f>
        <v>3</v>
      </c>
      <c r="Z12" s="87"/>
      <c r="AA12" s="87"/>
      <c r="AC12" s="82" t="str">
        <f t="shared" si="0"/>
        <v>1Dinamo Kiev</v>
      </c>
      <c r="AD12" s="82" t="str">
        <f t="shared" si="1"/>
        <v>1Malmö FF</v>
      </c>
      <c r="AF12" s="107"/>
      <c r="DB12" s="99" t="s">
        <v>49</v>
      </c>
      <c r="DC12" s="100" t="s">
        <v>59</v>
      </c>
    </row>
    <row r="13" spans="2:107" s="81" customFormat="1" ht="15" customHeight="1">
      <c r="B13" s="84"/>
      <c r="C13" s="7"/>
      <c r="D13" s="169">
        <v>1</v>
      </c>
      <c r="E13" s="169" t="s">
        <v>189</v>
      </c>
      <c r="F13" s="104">
        <v>43727</v>
      </c>
      <c r="G13" s="26" t="s">
        <v>350</v>
      </c>
      <c r="H13" s="6"/>
      <c r="I13" s="14" t="s">
        <v>392</v>
      </c>
      <c r="J13" s="14" t="s">
        <v>4</v>
      </c>
      <c r="K13" s="14" t="s">
        <v>391</v>
      </c>
      <c r="L13" s="6"/>
      <c r="M13" s="34" t="s">
        <v>370</v>
      </c>
      <c r="N13" s="34" t="str">
        <f>VLOOKUP(G13,'Team Setup'!$B$5:$C$52,2,FALSE)</f>
        <v>Parken Stadium</v>
      </c>
      <c r="O13" s="9"/>
      <c r="P13" s="85"/>
      <c r="Q13" s="86"/>
      <c r="R13" s="95"/>
      <c r="S13" s="85"/>
      <c r="T13" s="85"/>
      <c r="U13" s="85"/>
      <c r="V13" s="85"/>
      <c r="W13" s="85"/>
      <c r="X13" s="85"/>
      <c r="Y13" s="85"/>
      <c r="Z13" s="87"/>
      <c r="AA13" s="87"/>
      <c r="AC13" s="82" t="str">
        <f t="shared" si="0"/>
        <v>1FC København</v>
      </c>
      <c r="AD13" s="82" t="str">
        <f t="shared" si="1"/>
        <v>1FC Lugano</v>
      </c>
      <c r="AF13" s="107"/>
      <c r="DB13" s="99" t="s">
        <v>44</v>
      </c>
      <c r="DC13" s="100" t="s">
        <v>60</v>
      </c>
    </row>
    <row r="14" spans="2:107" s="81" customFormat="1" ht="15" customHeight="1">
      <c r="B14" s="84"/>
      <c r="C14" s="7"/>
      <c r="D14" s="169">
        <v>1</v>
      </c>
      <c r="E14" s="169" t="s">
        <v>190</v>
      </c>
      <c r="F14" s="104">
        <v>43727</v>
      </c>
      <c r="G14" s="26" t="s">
        <v>351</v>
      </c>
      <c r="H14" s="6"/>
      <c r="I14" s="14" t="s">
        <v>393</v>
      </c>
      <c r="J14" s="14" t="s">
        <v>4</v>
      </c>
      <c r="K14" s="14" t="s">
        <v>391</v>
      </c>
      <c r="L14" s="6"/>
      <c r="M14" s="34" t="s">
        <v>373</v>
      </c>
      <c r="N14" s="34" t="str">
        <f>VLOOKUP(G14,'Team Setup'!$B$5:$C$52,2,FALSE)</f>
        <v>St, jakob-Park</v>
      </c>
      <c r="O14" s="9"/>
      <c r="P14" s="85"/>
      <c r="Q14" s="86"/>
      <c r="R14" s="95"/>
      <c r="S14" s="85"/>
      <c r="T14" s="85"/>
      <c r="U14" s="85"/>
      <c r="V14" s="85"/>
      <c r="W14" s="85"/>
      <c r="X14" s="85"/>
      <c r="Y14" s="85"/>
      <c r="Z14" s="87"/>
      <c r="AA14" s="87"/>
      <c r="AC14" s="82" t="str">
        <f t="shared" si="0"/>
        <v>1FC Basel</v>
      </c>
      <c r="AD14" s="82" t="str">
        <f t="shared" si="1"/>
        <v>1FK Krasnodar</v>
      </c>
      <c r="AF14" s="107"/>
      <c r="DB14" s="99" t="s">
        <v>34</v>
      </c>
      <c r="DC14" s="100" t="s">
        <v>61</v>
      </c>
    </row>
    <row r="15" spans="2:107" s="81" customFormat="1" ht="15" customHeight="1">
      <c r="B15" s="84"/>
      <c r="C15" s="7"/>
      <c r="D15" s="169">
        <v>1</v>
      </c>
      <c r="E15" s="169" t="s">
        <v>190</v>
      </c>
      <c r="F15" s="104">
        <v>43727</v>
      </c>
      <c r="G15" s="26" t="s">
        <v>352</v>
      </c>
      <c r="H15" s="6"/>
      <c r="I15" s="14" t="s">
        <v>392</v>
      </c>
      <c r="J15" s="14" t="s">
        <v>4</v>
      </c>
      <c r="K15" s="14" t="s">
        <v>391</v>
      </c>
      <c r="L15" s="6"/>
      <c r="M15" s="34" t="s">
        <v>372</v>
      </c>
      <c r="N15" s="34" t="str">
        <f>VLOOKUP(G15,'Team Setup'!$B$5:$C$52,2,FALSE)</f>
        <v>Coliseum Alfonso Perez</v>
      </c>
      <c r="O15" s="9"/>
      <c r="P15" s="85"/>
      <c r="Q15" s="86"/>
      <c r="R15" s="95"/>
      <c r="S15" s="96" t="s">
        <v>11</v>
      </c>
      <c r="T15" s="97" t="s">
        <v>53</v>
      </c>
      <c r="U15" s="97" t="s">
        <v>7</v>
      </c>
      <c r="V15" s="97" t="s">
        <v>8</v>
      </c>
      <c r="W15" s="97" t="s">
        <v>9</v>
      </c>
      <c r="X15" s="97" t="s">
        <v>10</v>
      </c>
      <c r="Y15" s="98" t="s">
        <v>54</v>
      </c>
      <c r="Z15" s="87"/>
      <c r="AA15" s="87"/>
      <c r="AC15" s="82" t="str">
        <f t="shared" si="0"/>
        <v>1Getafe CF</v>
      </c>
      <c r="AD15" s="82" t="str">
        <f t="shared" si="1"/>
        <v>1Trabzonspor</v>
      </c>
      <c r="AF15" s="107"/>
      <c r="DB15" s="99" t="s">
        <v>33</v>
      </c>
      <c r="DC15" s="100" t="s">
        <v>62</v>
      </c>
    </row>
    <row r="16" spans="2:107" s="81" customFormat="1" ht="15" customHeight="1">
      <c r="B16" s="84"/>
      <c r="C16" s="7"/>
      <c r="D16" s="169">
        <v>1</v>
      </c>
      <c r="E16" s="169" t="s">
        <v>8</v>
      </c>
      <c r="F16" s="104">
        <v>43727</v>
      </c>
      <c r="G16" s="26" t="s">
        <v>353</v>
      </c>
      <c r="H16" s="6"/>
      <c r="I16" s="14" t="s">
        <v>392</v>
      </c>
      <c r="J16" s="14" t="s">
        <v>4</v>
      </c>
      <c r="K16" s="14" t="s">
        <v>391</v>
      </c>
      <c r="L16" s="6"/>
      <c r="M16" s="34" t="s">
        <v>374</v>
      </c>
      <c r="N16" s="34" t="str">
        <f>VLOOKUP(G16,'Team Setup'!$B$5:$C$52,2,FALSE)</f>
        <v>Linzer Stadion</v>
      </c>
      <c r="O16" s="9"/>
      <c r="P16" s="85"/>
      <c r="Q16" s="86"/>
      <c r="R16" s="95"/>
      <c r="S16" s="101" t="str">
        <f>VLOOKUP(1,'Dummy Table'!$DG$8:$DH$11,2,FALSE)</f>
        <v>Dinamo Kiev</v>
      </c>
      <c r="T16" s="102">
        <f>SUM(U16:W16)</f>
        <v>4</v>
      </c>
      <c r="U16" s="102">
        <f>SUMIF('Dummy Table'!B$8:B$11,'Group Stages'!S16,'Dummy Table'!Q$8:Q$11)</f>
        <v>1</v>
      </c>
      <c r="V16" s="102">
        <f>SUMIF('Dummy Table'!B$8:B$11,'Group Stages'!S16,'Dummy Table'!R$8:R$11)</f>
        <v>3</v>
      </c>
      <c r="W16" s="102">
        <f>SUMIF('Dummy Table'!B$8:B$11,'Group Stages'!S16,'Dummy Table'!S$8:S$11)</f>
        <v>0</v>
      </c>
      <c r="X16" s="102" t="str">
        <f>CONCATENATE(SUMIF('Dummy Table'!B$8:B$11,'Group Stages'!S16,'Dummy Table'!T$8:T$11)," - ",SUMIF('Dummy Table'!B$8:B$11,'Group Stages'!S16,'Dummy Table'!U$8:U$11))</f>
        <v>0 - 0</v>
      </c>
      <c r="Y16" s="103">
        <f>U16*3+V16*1</f>
        <v>6</v>
      </c>
      <c r="Z16" s="87"/>
      <c r="AA16" s="87"/>
      <c r="AC16" s="82" t="str">
        <f t="shared" si="0"/>
        <v>1LASK</v>
      </c>
      <c r="AD16" s="82" t="str">
        <f t="shared" si="1"/>
        <v>1Rosenborg BK</v>
      </c>
      <c r="AF16" s="107"/>
      <c r="DB16" s="111" t="s">
        <v>19</v>
      </c>
      <c r="DC16" s="100" t="s">
        <v>63</v>
      </c>
    </row>
    <row r="17" spans="2:107" s="81" customFormat="1" ht="15" customHeight="1">
      <c r="B17" s="84"/>
      <c r="C17" s="7"/>
      <c r="D17" s="169">
        <v>1</v>
      </c>
      <c r="E17" s="169" t="s">
        <v>8</v>
      </c>
      <c r="F17" s="104">
        <v>43727</v>
      </c>
      <c r="G17" s="26" t="s">
        <v>354</v>
      </c>
      <c r="H17" s="6"/>
      <c r="I17" s="14" t="s">
        <v>390</v>
      </c>
      <c r="J17" s="14" t="s">
        <v>4</v>
      </c>
      <c r="K17" s="14" t="s">
        <v>394</v>
      </c>
      <c r="L17" s="6"/>
      <c r="M17" s="34" t="s">
        <v>331</v>
      </c>
      <c r="N17" s="34" t="str">
        <f>VLOOKUP(G17,'Team Setup'!$B$5:$C$52,2,FALSE)</f>
        <v>Philips Stadion</v>
      </c>
      <c r="O17" s="9"/>
      <c r="P17" s="85"/>
      <c r="Q17" s="86"/>
      <c r="R17" s="95"/>
      <c r="S17" s="105" t="str">
        <f>VLOOKUP(2,'Dummy Table'!$DG$8:$DH$11,2,FALSE)</f>
        <v>FC København</v>
      </c>
      <c r="T17" s="23">
        <f>SUM(U17:W17)</f>
        <v>4</v>
      </c>
      <c r="U17" s="23">
        <f>SUMIF('Dummy Table'!B$8:B$11,'Group Stages'!S17,'Dummy Table'!Q$8:Q$11)</f>
        <v>1</v>
      </c>
      <c r="V17" s="23">
        <f>SUMIF('Dummy Table'!B$8:B$11,'Group Stages'!S17,'Dummy Table'!R$8:R$11)</f>
        <v>3</v>
      </c>
      <c r="W17" s="23">
        <f>SUMIF('Dummy Table'!B$8:B$11,'Group Stages'!S17,'Dummy Table'!S$8:S$11)</f>
        <v>0</v>
      </c>
      <c r="X17" s="23" t="str">
        <f>CONCATENATE(SUMIF('Dummy Table'!B$8:B$11,'Group Stages'!S17,'Dummy Table'!T$8:T$11)," - ",SUMIF('Dummy Table'!B$8:B$11,'Group Stages'!S17,'Dummy Table'!U$8:U$11))</f>
        <v>0 - 0</v>
      </c>
      <c r="Y17" s="106">
        <f>U17*3+V17*1</f>
        <v>6</v>
      </c>
      <c r="Z17" s="87"/>
      <c r="AA17" s="87"/>
      <c r="AC17" s="82" t="str">
        <f t="shared" si="0"/>
        <v>1PSV Eindhoven</v>
      </c>
      <c r="AD17" s="82" t="str">
        <f t="shared" si="1"/>
        <v>1Sporting CP</v>
      </c>
      <c r="AF17" s="107"/>
      <c r="DB17" s="99" t="s">
        <v>37</v>
      </c>
      <c r="DC17" s="100" t="s">
        <v>64</v>
      </c>
    </row>
    <row r="18" spans="2:107" s="81" customFormat="1" ht="15" customHeight="1">
      <c r="B18" s="84"/>
      <c r="C18" s="7"/>
      <c r="D18" s="169">
        <v>1</v>
      </c>
      <c r="E18" s="169" t="s">
        <v>191</v>
      </c>
      <c r="F18" s="104">
        <v>43727</v>
      </c>
      <c r="G18" s="26" t="s">
        <v>355</v>
      </c>
      <c r="H18" s="6"/>
      <c r="I18" s="14" t="s">
        <v>392</v>
      </c>
      <c r="J18" s="14" t="s">
        <v>4</v>
      </c>
      <c r="K18" s="14" t="s">
        <v>392</v>
      </c>
      <c r="L18" s="6"/>
      <c r="M18" s="34" t="s">
        <v>375</v>
      </c>
      <c r="N18" s="34" t="str">
        <f>VLOOKUP(G18,'Team Setup'!$B$5:$C$52,2,FALSE)</f>
        <v>Roazhon Park</v>
      </c>
      <c r="O18" s="9"/>
      <c r="P18" s="85"/>
      <c r="Q18" s="86"/>
      <c r="R18" s="95"/>
      <c r="S18" s="105" t="str">
        <f>VLOOKUP(3,'Dummy Table'!$DG$8:$DH$11,2,FALSE)</f>
        <v>Malmö FF</v>
      </c>
      <c r="T18" s="23">
        <f>SUM(U18:W18)</f>
        <v>4</v>
      </c>
      <c r="U18" s="23">
        <f>SUMIF('Dummy Table'!B$8:B$11,'Group Stages'!S18,'Dummy Table'!Q$8:Q$11)</f>
        <v>1</v>
      </c>
      <c r="V18" s="23">
        <f>SUMIF('Dummy Table'!B$8:B$11,'Group Stages'!S18,'Dummy Table'!R$8:R$11)</f>
        <v>2</v>
      </c>
      <c r="W18" s="23">
        <f>SUMIF('Dummy Table'!B$8:B$11,'Group Stages'!S18,'Dummy Table'!S$8:S$11)</f>
        <v>1</v>
      </c>
      <c r="X18" s="23" t="str">
        <f>CONCATENATE(SUMIF('Dummy Table'!B$8:B$11,'Group Stages'!S18,'Dummy Table'!T$8:T$11)," - ",SUMIF('Dummy Table'!B$8:B$11,'Group Stages'!S18,'Dummy Table'!U$8:U$11))</f>
        <v>0 - 0</v>
      </c>
      <c r="Y18" s="106">
        <f>U18*3+V18*1</f>
        <v>5</v>
      </c>
      <c r="Z18" s="87"/>
      <c r="AA18" s="87"/>
      <c r="AC18" s="82" t="str">
        <f t="shared" si="0"/>
        <v>1Stade Rennes</v>
      </c>
      <c r="AD18" s="82" t="str">
        <f t="shared" si="1"/>
        <v>1Celtic FC</v>
      </c>
      <c r="AF18" s="107"/>
      <c r="DB18" s="99" t="s">
        <v>5</v>
      </c>
      <c r="DC18" s="100" t="s">
        <v>65</v>
      </c>
    </row>
    <row r="19" spans="2:107" s="81" customFormat="1" ht="15" customHeight="1">
      <c r="B19" s="84"/>
      <c r="C19" s="7"/>
      <c r="D19" s="169">
        <v>1</v>
      </c>
      <c r="E19" s="169" t="s">
        <v>191</v>
      </c>
      <c r="F19" s="104">
        <v>43727</v>
      </c>
      <c r="G19" s="26" t="s">
        <v>356</v>
      </c>
      <c r="H19" s="6"/>
      <c r="I19" s="14" t="s">
        <v>394</v>
      </c>
      <c r="J19" s="14" t="s">
        <v>4</v>
      </c>
      <c r="K19" s="14" t="s">
        <v>392</v>
      </c>
      <c r="L19" s="6"/>
      <c r="M19" s="34" t="s">
        <v>239</v>
      </c>
      <c r="N19" s="34" t="str">
        <f>VLOOKUP(G19,'Team Setup'!$B$5:$C$52,2,FALSE)</f>
        <v>Stadionul Dr. Constantin Rădulescu</v>
      </c>
      <c r="O19" s="9"/>
      <c r="P19" s="85"/>
      <c r="Q19" s="86"/>
      <c r="R19" s="95"/>
      <c r="S19" s="108" t="str">
        <f>VLOOKUP(4,'Dummy Table'!$DG$8:$DH$11,2,FALSE)</f>
        <v>FC Lugano</v>
      </c>
      <c r="T19" s="109">
        <f>SUM(U19:W19)</f>
        <v>4</v>
      </c>
      <c r="U19" s="109">
        <f>SUMIF('Dummy Table'!B$8:B$11,'Group Stages'!S19,'Dummy Table'!Q$8:Q$11)</f>
        <v>0</v>
      </c>
      <c r="V19" s="109">
        <f>SUMIF('Dummy Table'!B$8:B$11,'Group Stages'!S19,'Dummy Table'!R$8:R$11)</f>
        <v>2</v>
      </c>
      <c r="W19" s="109">
        <f>SUMIF('Dummy Table'!B$8:B$11,'Group Stages'!S19,'Dummy Table'!S$8:S$11)</f>
        <v>2</v>
      </c>
      <c r="X19" s="109" t="str">
        <f>CONCATENATE(SUMIF('Dummy Table'!B$8:B$11,'Group Stages'!S19,'Dummy Table'!T$8:T$11)," - ",SUMIF('Dummy Table'!B$8:B$11,'Group Stages'!S19,'Dummy Table'!U$8:U$11))</f>
        <v>0 - 0</v>
      </c>
      <c r="Y19" s="110">
        <f>U19*3+V19*1</f>
        <v>2</v>
      </c>
      <c r="Z19" s="87"/>
      <c r="AA19" s="87"/>
      <c r="AC19" s="82" t="str">
        <f t="shared" si="0"/>
        <v>1CFR Cluj</v>
      </c>
      <c r="AD19" s="82" t="str">
        <f t="shared" si="1"/>
        <v>1Lazio</v>
      </c>
      <c r="AF19" s="107"/>
      <c r="DB19" s="99" t="s">
        <v>26</v>
      </c>
      <c r="DC19" s="100" t="s">
        <v>66</v>
      </c>
    </row>
    <row r="20" spans="2:107" s="81" customFormat="1" ht="15" customHeight="1">
      <c r="B20" s="84"/>
      <c r="C20" s="7"/>
      <c r="D20" s="169">
        <v>1</v>
      </c>
      <c r="E20" s="169" t="s">
        <v>14</v>
      </c>
      <c r="F20" s="104">
        <v>43727</v>
      </c>
      <c r="G20" s="26" t="s">
        <v>333</v>
      </c>
      <c r="H20" s="6"/>
      <c r="I20" s="14" t="s">
        <v>391</v>
      </c>
      <c r="J20" s="14" t="s">
        <v>4</v>
      </c>
      <c r="K20" s="14" t="s">
        <v>390</v>
      </c>
      <c r="L20" s="6"/>
      <c r="M20" s="34" t="s">
        <v>376</v>
      </c>
      <c r="N20" s="34" t="str">
        <f>VLOOKUP(G20,'Team Setup'!$B$5:$C$52,2,FALSE)</f>
        <v>Waldstadion, Frankfurt am Main</v>
      </c>
      <c r="O20" s="9"/>
      <c r="P20" s="85"/>
      <c r="Q20" s="86"/>
      <c r="R20" s="95"/>
      <c r="S20" s="85"/>
      <c r="T20" s="85"/>
      <c r="U20" s="85"/>
      <c r="V20" s="85"/>
      <c r="W20" s="85"/>
      <c r="X20" s="85"/>
      <c r="Y20" s="85"/>
      <c r="Z20" s="87"/>
      <c r="AA20" s="87"/>
      <c r="AC20" s="82" t="str">
        <f t="shared" si="0"/>
        <v>1Eintracht Frankfurt</v>
      </c>
      <c r="AD20" s="82" t="str">
        <f t="shared" si="1"/>
        <v>1Arsenal FC</v>
      </c>
      <c r="AF20" s="107"/>
      <c r="DB20" s="99" t="s">
        <v>41</v>
      </c>
      <c r="DC20" s="100" t="s">
        <v>67</v>
      </c>
    </row>
    <row r="21" spans="2:107" s="81" customFormat="1" ht="15" customHeight="1">
      <c r="B21" s="84"/>
      <c r="C21" s="7"/>
      <c r="D21" s="169">
        <v>1</v>
      </c>
      <c r="E21" s="169" t="s">
        <v>14</v>
      </c>
      <c r="F21" s="104">
        <v>43727</v>
      </c>
      <c r="G21" s="26" t="s">
        <v>357</v>
      </c>
      <c r="H21" s="6"/>
      <c r="I21" s="14" t="s">
        <v>394</v>
      </c>
      <c r="J21" s="14" t="s">
        <v>4</v>
      </c>
      <c r="K21" s="14" t="s">
        <v>391</v>
      </c>
      <c r="L21" s="6"/>
      <c r="M21" s="34" t="s">
        <v>377</v>
      </c>
      <c r="N21" s="34" t="str">
        <f>VLOOKUP(G21,'Team Setup'!$B$5:$C$52,2,FALSE)</f>
        <v>Stade Maurice Dufrasne</v>
      </c>
      <c r="O21" s="9"/>
      <c r="P21" s="85"/>
      <c r="Q21" s="86"/>
      <c r="R21" s="95"/>
      <c r="S21" s="85"/>
      <c r="T21" s="85"/>
      <c r="U21" s="85"/>
      <c r="V21" s="85"/>
      <c r="W21" s="85"/>
      <c r="X21" s="85"/>
      <c r="Y21" s="85"/>
      <c r="Z21" s="87"/>
      <c r="AA21" s="87"/>
      <c r="AC21" s="82" t="str">
        <f t="shared" si="0"/>
        <v>1Standard Liège</v>
      </c>
      <c r="AD21" s="82" t="str">
        <f t="shared" si="1"/>
        <v>1Vitória Guimarães</v>
      </c>
      <c r="AF21" s="107"/>
      <c r="DB21" s="99" t="s">
        <v>31</v>
      </c>
      <c r="DC21" s="100" t="s">
        <v>68</v>
      </c>
    </row>
    <row r="22" spans="2:107" s="81" customFormat="1" ht="15" customHeight="1">
      <c r="B22" s="84"/>
      <c r="C22" s="7"/>
      <c r="D22" s="169">
        <v>1</v>
      </c>
      <c r="E22" s="169" t="s">
        <v>192</v>
      </c>
      <c r="F22" s="104">
        <v>43727</v>
      </c>
      <c r="G22" s="26" t="s">
        <v>358</v>
      </c>
      <c r="H22" s="6"/>
      <c r="I22" s="14" t="s">
        <v>394</v>
      </c>
      <c r="J22" s="14" t="s">
        <v>4</v>
      </c>
      <c r="K22" s="14" t="s">
        <v>392</v>
      </c>
      <c r="L22" s="6"/>
      <c r="M22" s="34" t="s">
        <v>378</v>
      </c>
      <c r="N22" s="34" t="str">
        <f>VLOOKUP(G22,'Team Setup'!$B$5:$C$52,2,FALSE)</f>
        <v>Estádio do Dragão</v>
      </c>
      <c r="O22" s="9"/>
      <c r="P22" s="85"/>
      <c r="Q22" s="86"/>
      <c r="R22" s="95"/>
      <c r="S22" s="96" t="s">
        <v>12</v>
      </c>
      <c r="T22" s="97" t="s">
        <v>53</v>
      </c>
      <c r="U22" s="97" t="s">
        <v>7</v>
      </c>
      <c r="V22" s="97" t="s">
        <v>8</v>
      </c>
      <c r="W22" s="97" t="s">
        <v>9</v>
      </c>
      <c r="X22" s="97" t="s">
        <v>10</v>
      </c>
      <c r="Y22" s="98" t="s">
        <v>54</v>
      </c>
      <c r="Z22" s="87"/>
      <c r="AA22" s="87"/>
      <c r="AC22" s="82" t="str">
        <f t="shared" si="0"/>
        <v>1FC Porto</v>
      </c>
      <c r="AD22" s="82" t="str">
        <f t="shared" si="1"/>
        <v>1BSC Young Boys</v>
      </c>
      <c r="AF22" s="107"/>
      <c r="DB22" s="99" t="s">
        <v>27</v>
      </c>
      <c r="DC22" s="100" t="s">
        <v>69</v>
      </c>
    </row>
    <row r="23" spans="2:107" s="81" customFormat="1" ht="15" customHeight="1">
      <c r="B23" s="84"/>
      <c r="C23" s="7"/>
      <c r="D23" s="169">
        <v>1</v>
      </c>
      <c r="E23" s="169" t="s">
        <v>192</v>
      </c>
      <c r="F23" s="104">
        <v>43727</v>
      </c>
      <c r="G23" s="26" t="s">
        <v>359</v>
      </c>
      <c r="H23" s="6"/>
      <c r="I23" s="14" t="s">
        <v>392</v>
      </c>
      <c r="J23" s="14" t="s">
        <v>4</v>
      </c>
      <c r="K23" s="14" t="s">
        <v>391</v>
      </c>
      <c r="L23" s="6"/>
      <c r="M23" s="34" t="s">
        <v>379</v>
      </c>
      <c r="N23" s="34" t="str">
        <f>VLOOKUP(G23,'Team Setup'!$B$5:$C$52,2,FALSE)</f>
        <v>Ibrox Stadium</v>
      </c>
      <c r="O23" s="9"/>
      <c r="P23" s="85"/>
      <c r="Q23" s="86"/>
      <c r="R23" s="95"/>
      <c r="S23" s="101" t="str">
        <f>VLOOKUP(1,'Dummy Table'!$DG$12:$DH$15,2,FALSE)</f>
        <v>FC Basel</v>
      </c>
      <c r="T23" s="102">
        <f>SUM(U23:W23)</f>
        <v>4</v>
      </c>
      <c r="U23" s="102">
        <f>SUMIF('Dummy Table'!B$12:B$15,'Group Stages'!S23,'Dummy Table'!Q$12:Q$15)</f>
        <v>3</v>
      </c>
      <c r="V23" s="102">
        <f>SUMIF('Dummy Table'!B$12:B$15,'Group Stages'!S23,'Dummy Table'!R$12:R$15)</f>
        <v>1</v>
      </c>
      <c r="W23" s="102">
        <f>SUMIF('Dummy Table'!B$12:B$15,'Group Stages'!S23,'Dummy Table'!S$12:S$15)</f>
        <v>0</v>
      </c>
      <c r="X23" s="102" t="str">
        <f>CONCATENATE(SUMIF('Dummy Table'!B$12:B$15,'Group Stages'!S23,'Dummy Table'!T$12:T$15)," - ",SUMIF('Dummy Table'!B$12:B$15,'Group Stages'!S23,'Dummy Table'!U$12:U$15))</f>
        <v>0 - 0</v>
      </c>
      <c r="Y23" s="103">
        <f>U23*3+V23*1</f>
        <v>10</v>
      </c>
      <c r="Z23" s="87"/>
      <c r="AA23" s="87"/>
      <c r="AC23" s="82" t="str">
        <f t="shared" si="0"/>
        <v>1Rangers FC</v>
      </c>
      <c r="AD23" s="82" t="str">
        <f t="shared" si="1"/>
        <v>1Feyenoord</v>
      </c>
      <c r="AF23" s="107"/>
      <c r="DB23" s="99" t="s">
        <v>30</v>
      </c>
      <c r="DC23" s="100" t="s">
        <v>70</v>
      </c>
    </row>
    <row r="24" spans="2:107" s="81" customFormat="1" ht="15" customHeight="1">
      <c r="B24" s="84"/>
      <c r="C24" s="7"/>
      <c r="D24" s="169">
        <v>1</v>
      </c>
      <c r="E24" s="169" t="s">
        <v>193</v>
      </c>
      <c r="F24" s="104">
        <v>43727</v>
      </c>
      <c r="G24" s="26" t="s">
        <v>360</v>
      </c>
      <c r="H24" s="6"/>
      <c r="I24" s="14" t="s">
        <v>393</v>
      </c>
      <c r="J24" s="14" t="s">
        <v>4</v>
      </c>
      <c r="K24" s="14" t="s">
        <v>392</v>
      </c>
      <c r="L24" s="6"/>
      <c r="M24" s="34" t="s">
        <v>380</v>
      </c>
      <c r="N24" s="34" t="str">
        <f>VLOOKUP(G24,'Team Setup'!$B$5:$C$52,2,FALSE)</f>
        <v>Ludogorets Arena</v>
      </c>
      <c r="O24" s="9"/>
      <c r="P24" s="85"/>
      <c r="Q24" s="86"/>
      <c r="R24" s="95"/>
      <c r="S24" s="105" t="str">
        <f>VLOOKUP(2,'Dummy Table'!$DG$12:$DH$15,2,FALSE)</f>
        <v>Getafe CF</v>
      </c>
      <c r="T24" s="23">
        <f>SUM(U24:W24)</f>
        <v>4</v>
      </c>
      <c r="U24" s="23">
        <f>SUMIF('Dummy Table'!B$12:B$15,'Group Stages'!S24,'Dummy Table'!Q$12:Q$15)</f>
        <v>2</v>
      </c>
      <c r="V24" s="23">
        <f>SUMIF('Dummy Table'!B$12:B$15,'Group Stages'!S24,'Dummy Table'!R$12:R$15)</f>
        <v>0</v>
      </c>
      <c r="W24" s="23">
        <f>SUMIF('Dummy Table'!B$12:B$15,'Group Stages'!S24,'Dummy Table'!S$12:S$15)</f>
        <v>2</v>
      </c>
      <c r="X24" s="23" t="str">
        <f>CONCATENATE(SUMIF('Dummy Table'!B$12:B$15,'Group Stages'!S24,'Dummy Table'!T$12:T$15)," - ",SUMIF('Dummy Table'!B$12:B$15,'Group Stages'!S24,'Dummy Table'!U$12:U$15))</f>
        <v>0 - 0</v>
      </c>
      <c r="Y24" s="106">
        <f>U24*3+V24*1</f>
        <v>6</v>
      </c>
      <c r="Z24" s="87"/>
      <c r="AA24" s="87"/>
      <c r="AC24" s="82" t="str">
        <f t="shared" si="0"/>
        <v>1PFC Ludogorets Razgrad</v>
      </c>
      <c r="AD24" s="82" t="str">
        <f t="shared" si="1"/>
        <v>1CSKA Moskva</v>
      </c>
      <c r="AF24" s="107"/>
      <c r="DB24" s="99" t="s">
        <v>47</v>
      </c>
      <c r="DC24" s="100" t="s">
        <v>71</v>
      </c>
    </row>
    <row r="25" spans="2:107" s="81" customFormat="1" ht="15" customHeight="1">
      <c r="B25" s="84"/>
      <c r="C25" s="7"/>
      <c r="D25" s="169">
        <v>1</v>
      </c>
      <c r="E25" s="169" t="s">
        <v>193</v>
      </c>
      <c r="F25" s="104">
        <v>43727</v>
      </c>
      <c r="G25" s="26" t="s">
        <v>436</v>
      </c>
      <c r="H25" s="6"/>
      <c r="I25" s="14" t="s">
        <v>392</v>
      </c>
      <c r="J25" s="14" t="s">
        <v>4</v>
      </c>
      <c r="K25" s="14" t="s">
        <v>392</v>
      </c>
      <c r="L25" s="6"/>
      <c r="M25" s="34" t="s">
        <v>381</v>
      </c>
      <c r="N25" s="34" t="str">
        <f>VLOOKUP(G25,'Team Setup'!$B$5:$C$52,2,FALSE)</f>
        <v>RCDE Stadium</v>
      </c>
      <c r="O25" s="9"/>
      <c r="P25" s="85"/>
      <c r="Q25" s="86"/>
      <c r="R25" s="95"/>
      <c r="S25" s="105" t="str">
        <f>VLOOKUP(3,'Dummy Table'!$DG$12:$DH$15,2,FALSE)</f>
        <v>FK Krasnodar</v>
      </c>
      <c r="T25" s="23">
        <f>SUM(U25:W25)</f>
        <v>4</v>
      </c>
      <c r="U25" s="23">
        <f>SUMIF('Dummy Table'!B$12:B$15,'Group Stages'!S25,'Dummy Table'!Q$12:Q$15)</f>
        <v>2</v>
      </c>
      <c r="V25" s="23">
        <f>SUMIF('Dummy Table'!B$12:B$15,'Group Stages'!S25,'Dummy Table'!R$12:R$15)</f>
        <v>0</v>
      </c>
      <c r="W25" s="23">
        <f>SUMIF('Dummy Table'!B$12:B$15,'Group Stages'!S25,'Dummy Table'!S$12:S$15)</f>
        <v>2</v>
      </c>
      <c r="X25" s="23" t="str">
        <f>CONCATENATE(SUMIF('Dummy Table'!B$12:B$15,'Group Stages'!S25,'Dummy Table'!T$12:T$15)," - ",SUMIF('Dummy Table'!B$12:B$15,'Group Stages'!S25,'Dummy Table'!U$12:U$15))</f>
        <v>0 - 0</v>
      </c>
      <c r="Y25" s="106">
        <f>U25*3+V25*1</f>
        <v>6</v>
      </c>
      <c r="Z25" s="87"/>
      <c r="AA25" s="87"/>
      <c r="AC25" s="82" t="str">
        <f t="shared" si="0"/>
        <v>1Espanyol</v>
      </c>
      <c r="AD25" s="82" t="str">
        <f t="shared" si="1"/>
        <v>1Ferencvárosi TC</v>
      </c>
      <c r="AF25" s="107"/>
      <c r="DB25" s="99" t="s">
        <v>35</v>
      </c>
      <c r="DC25" s="100" t="s">
        <v>72</v>
      </c>
    </row>
    <row r="26" spans="2:107" s="81" customFormat="1" ht="15" customHeight="1">
      <c r="B26" s="84"/>
      <c r="C26" s="7"/>
      <c r="D26" s="169">
        <v>1</v>
      </c>
      <c r="E26" s="169" t="s">
        <v>234</v>
      </c>
      <c r="F26" s="104">
        <v>43727</v>
      </c>
      <c r="G26" s="26" t="s">
        <v>361</v>
      </c>
      <c r="H26" s="6"/>
      <c r="I26" s="14" t="s">
        <v>390</v>
      </c>
      <c r="J26" s="14" t="s">
        <v>4</v>
      </c>
      <c r="K26" s="14" t="s">
        <v>394</v>
      </c>
      <c r="L26" s="6"/>
      <c r="M26" s="34" t="s">
        <v>382</v>
      </c>
      <c r="N26" s="34" t="str">
        <f>VLOOKUP(G26,'Team Setup'!$B$5:$C$52,2,FALSE)</f>
        <v>Ghelamco Arena</v>
      </c>
      <c r="O26" s="9"/>
      <c r="P26" s="85"/>
      <c r="Q26" s="86"/>
      <c r="R26" s="95"/>
      <c r="S26" s="108" t="str">
        <f>VLOOKUP(4,'Dummy Table'!$DG$12:$DH$15,2,FALSE)</f>
        <v>Trabzonspor</v>
      </c>
      <c r="T26" s="109">
        <f>SUM(U26:W26)</f>
        <v>4</v>
      </c>
      <c r="U26" s="109">
        <f>SUMIF('Dummy Table'!B$12:B$15,'Group Stages'!S26,'Dummy Table'!Q$12:Q$15)</f>
        <v>0</v>
      </c>
      <c r="V26" s="109">
        <f>SUMIF('Dummy Table'!B$12:B$15,'Group Stages'!S26,'Dummy Table'!R$12:R$15)</f>
        <v>1</v>
      </c>
      <c r="W26" s="109">
        <f>SUMIF('Dummy Table'!B$12:B$15,'Group Stages'!S26,'Dummy Table'!S$12:S$15)</f>
        <v>3</v>
      </c>
      <c r="X26" s="109" t="str">
        <f>CONCATENATE(SUMIF('Dummy Table'!B$12:B$15,'Group Stages'!S26,'Dummy Table'!T$12:T$15)," - ",SUMIF('Dummy Table'!B$12:B$15,'Group Stages'!S26,'Dummy Table'!U$12:U$15))</f>
        <v>0 - 0</v>
      </c>
      <c r="Y26" s="110">
        <f>U26*3+V26*1</f>
        <v>1</v>
      </c>
      <c r="Z26" s="87"/>
      <c r="AA26" s="87"/>
      <c r="AC26" s="82" t="str">
        <f t="shared" si="0"/>
        <v>1KAA Gent</v>
      </c>
      <c r="AD26" s="82" t="str">
        <f t="shared" si="1"/>
        <v>1AS Saint-Étienne</v>
      </c>
      <c r="AF26" s="107"/>
      <c r="DB26" s="99" t="s">
        <v>29</v>
      </c>
      <c r="DC26" s="100" t="s">
        <v>73</v>
      </c>
    </row>
    <row r="27" spans="2:107" s="81" customFormat="1" ht="15" customHeight="1">
      <c r="B27" s="84"/>
      <c r="C27" s="7"/>
      <c r="D27" s="169">
        <v>1</v>
      </c>
      <c r="E27" s="169" t="s">
        <v>234</v>
      </c>
      <c r="F27" s="104">
        <v>43727</v>
      </c>
      <c r="G27" s="26" t="s">
        <v>362</v>
      </c>
      <c r="H27" s="6"/>
      <c r="I27" s="14" t="s">
        <v>390</v>
      </c>
      <c r="J27" s="14" t="s">
        <v>4</v>
      </c>
      <c r="K27" s="14" t="s">
        <v>392</v>
      </c>
      <c r="L27" s="6"/>
      <c r="M27" s="34" t="s">
        <v>383</v>
      </c>
      <c r="N27" s="34" t="str">
        <f>VLOOKUP(G27,'Team Setup'!$B$5:$C$52,2,FALSE)</f>
        <v>Volkswagen Area</v>
      </c>
      <c r="O27" s="9"/>
      <c r="P27" s="85"/>
      <c r="Q27" s="86"/>
      <c r="R27" s="95"/>
      <c r="S27" s="85"/>
      <c r="T27" s="85"/>
      <c r="U27" s="85"/>
      <c r="V27" s="85"/>
      <c r="W27" s="85"/>
      <c r="X27" s="85"/>
      <c r="Y27" s="85"/>
      <c r="Z27" s="87"/>
      <c r="AA27" s="87"/>
      <c r="AC27" s="82" t="str">
        <f t="shared" si="0"/>
        <v>1VfL Wolfsburg</v>
      </c>
      <c r="AD27" s="82" t="str">
        <f t="shared" si="1"/>
        <v>1FC Oleksandriya</v>
      </c>
      <c r="AF27" s="107"/>
      <c r="DB27" s="99" t="s">
        <v>28</v>
      </c>
      <c r="DC27" s="100" t="s">
        <v>74</v>
      </c>
    </row>
    <row r="28" spans="2:107" s="81" customFormat="1" ht="15" customHeight="1">
      <c r="B28" s="84"/>
      <c r="C28" s="7"/>
      <c r="D28" s="169">
        <v>1</v>
      </c>
      <c r="E28" s="169" t="s">
        <v>235</v>
      </c>
      <c r="F28" s="104">
        <v>43727</v>
      </c>
      <c r="G28" s="26" t="s">
        <v>363</v>
      </c>
      <c r="H28" s="6"/>
      <c r="I28" s="14" t="s">
        <v>395</v>
      </c>
      <c r="J28" s="14" t="s">
        <v>4</v>
      </c>
      <c r="K28" s="14" t="s">
        <v>391</v>
      </c>
      <c r="L28" s="6"/>
      <c r="M28" s="34" t="s">
        <v>385</v>
      </c>
      <c r="N28" s="34" t="str">
        <f>VLOOKUP(G28,'Team Setup'!$B$5:$C$52,2,FALSE)</f>
        <v>Olimpico</v>
      </c>
      <c r="O28" s="9"/>
      <c r="P28" s="85"/>
      <c r="Q28" s="86"/>
      <c r="R28" s="95"/>
      <c r="S28" s="85"/>
      <c r="T28" s="85"/>
      <c r="U28" s="85"/>
      <c r="V28" s="85"/>
      <c r="W28" s="85"/>
      <c r="X28" s="85"/>
      <c r="Y28" s="85"/>
      <c r="Z28" s="87"/>
      <c r="AA28" s="87"/>
      <c r="AC28" s="82" t="str">
        <f t="shared" si="0"/>
        <v>1AS Roma</v>
      </c>
      <c r="AD28" s="82" t="str">
        <f t="shared" si="1"/>
        <v>1İstanbul Başakşehir F.K.</v>
      </c>
      <c r="AF28" s="107"/>
      <c r="DB28" s="99" t="s">
        <v>32</v>
      </c>
      <c r="DC28" s="100" t="s">
        <v>75</v>
      </c>
    </row>
    <row r="29" spans="2:107" s="81" customFormat="1" ht="15" customHeight="1">
      <c r="B29" s="84"/>
      <c r="C29" s="7"/>
      <c r="D29" s="169">
        <v>1</v>
      </c>
      <c r="E29" s="169" t="s">
        <v>235</v>
      </c>
      <c r="F29" s="104">
        <v>43727</v>
      </c>
      <c r="G29" s="26" t="s">
        <v>364</v>
      </c>
      <c r="H29" s="6"/>
      <c r="I29" s="14" t="s">
        <v>391</v>
      </c>
      <c r="J29" s="14" t="s">
        <v>4</v>
      </c>
      <c r="K29" s="14" t="s">
        <v>395</v>
      </c>
      <c r="L29" s="6"/>
      <c r="M29" s="34" t="s">
        <v>384</v>
      </c>
      <c r="N29" s="34" t="str">
        <f>VLOOKUP(G29,'Team Setup'!$B$5:$C$52,2,FALSE)</f>
        <v>Borussia Park</v>
      </c>
      <c r="O29" s="9"/>
      <c r="P29" s="85"/>
      <c r="Q29" s="86"/>
      <c r="R29" s="95"/>
      <c r="S29" s="96" t="s">
        <v>13</v>
      </c>
      <c r="T29" s="97" t="s">
        <v>53</v>
      </c>
      <c r="U29" s="97" t="s">
        <v>7</v>
      </c>
      <c r="V29" s="97" t="s">
        <v>8</v>
      </c>
      <c r="W29" s="97" t="s">
        <v>9</v>
      </c>
      <c r="X29" s="97" t="s">
        <v>10</v>
      </c>
      <c r="Y29" s="98" t="s">
        <v>54</v>
      </c>
      <c r="Z29" s="87"/>
      <c r="AA29" s="87"/>
      <c r="AC29" s="82" t="str">
        <f t="shared" si="0"/>
        <v>1Bor. Mönchengladbach</v>
      </c>
      <c r="AD29" s="82" t="str">
        <f t="shared" si="1"/>
        <v>1Wolfsberger AC</v>
      </c>
      <c r="AF29" s="107"/>
      <c r="DB29" s="99" t="s">
        <v>42</v>
      </c>
      <c r="DC29" s="100" t="s">
        <v>76</v>
      </c>
    </row>
    <row r="30" spans="2:107" s="81" customFormat="1" ht="15" customHeight="1">
      <c r="B30" s="84"/>
      <c r="C30" s="7"/>
      <c r="D30" s="169">
        <v>1</v>
      </c>
      <c r="E30" s="169" t="s">
        <v>236</v>
      </c>
      <c r="F30" s="104">
        <v>43727</v>
      </c>
      <c r="G30" s="26" t="s">
        <v>365</v>
      </c>
      <c r="H30" s="6"/>
      <c r="I30" s="14" t="s">
        <v>395</v>
      </c>
      <c r="J30" s="14" t="s">
        <v>4</v>
      </c>
      <c r="K30" s="14" t="s">
        <v>394</v>
      </c>
      <c r="L30" s="6"/>
      <c r="M30" s="34" t="s">
        <v>386</v>
      </c>
      <c r="N30" s="34" t="str">
        <f>VLOOKUP(G30,'Team Setup'!$B$5:$C$52,2,FALSE)</f>
        <v>Tehelné pole</v>
      </c>
      <c r="O30" s="9"/>
      <c r="P30" s="85"/>
      <c r="Q30" s="86"/>
      <c r="R30" s="95"/>
      <c r="S30" s="101" t="str">
        <f>VLOOKUP(1,'Dummy Table'!$DG$16:$DH$19,2,FALSE)</f>
        <v>Sporting CP</v>
      </c>
      <c r="T30" s="102">
        <f>SUM(U30:W30)</f>
        <v>4</v>
      </c>
      <c r="U30" s="102">
        <f>SUMIF('Dummy Table'!B$16:B$19,'Group Stages'!S30,'Dummy Table'!Q$16:Q$19)</f>
        <v>3</v>
      </c>
      <c r="V30" s="102">
        <f>SUMIF('Dummy Table'!B$16:B$19,'Group Stages'!S30,'Dummy Table'!R$16:R$19)</f>
        <v>0</v>
      </c>
      <c r="W30" s="102">
        <f>SUMIF('Dummy Table'!B$16:B$19,'Group Stages'!S30,'Dummy Table'!S$16:S$19)</f>
        <v>1</v>
      </c>
      <c r="X30" s="102" t="str">
        <f>CONCATENATE(SUMIF('Dummy Table'!B$16:B$19,'Group Stages'!S30,'Dummy Table'!T$16:T$19)," - ",SUMIF('Dummy Table'!B$16:B$19,'Group Stages'!S30,'Dummy Table'!U$16:U$19))</f>
        <v>0 - 0</v>
      </c>
      <c r="Y30" s="103">
        <f>U30*3+V30*1</f>
        <v>9</v>
      </c>
      <c r="Z30" s="87"/>
      <c r="AA30" s="87"/>
      <c r="AC30" s="82" t="str">
        <f t="shared" si="0"/>
        <v>1Slovan Bratislava</v>
      </c>
      <c r="AD30" s="82" t="str">
        <f t="shared" si="1"/>
        <v>1Beşiktaş</v>
      </c>
      <c r="AF30" s="107"/>
      <c r="DB30" s="99" t="s">
        <v>38</v>
      </c>
      <c r="DC30" s="100" t="s">
        <v>77</v>
      </c>
    </row>
    <row r="31" spans="2:107" s="81" customFormat="1" ht="15" customHeight="1">
      <c r="B31" s="84"/>
      <c r="C31" s="7"/>
      <c r="D31" s="169">
        <v>1</v>
      </c>
      <c r="E31" s="169" t="s">
        <v>236</v>
      </c>
      <c r="F31" s="104">
        <v>43727</v>
      </c>
      <c r="G31" s="26" t="s">
        <v>366</v>
      </c>
      <c r="H31" s="6"/>
      <c r="I31" s="14" t="s">
        <v>391</v>
      </c>
      <c r="J31" s="14" t="s">
        <v>4</v>
      </c>
      <c r="K31" s="14" t="s">
        <v>392</v>
      </c>
      <c r="L31" s="6"/>
      <c r="M31" s="34" t="s">
        <v>387</v>
      </c>
      <c r="N31" s="34" t="str">
        <f>VLOOKUP(G31,'Team Setup'!$B$5:$C$52,2,FALSE)</f>
        <v>Molineux Stadium</v>
      </c>
      <c r="O31" s="9"/>
      <c r="P31" s="85"/>
      <c r="Q31" s="86"/>
      <c r="R31" s="95"/>
      <c r="S31" s="105" t="str">
        <f>VLOOKUP(2,'Dummy Table'!$DG$16:$DH$19,2,FALSE)</f>
        <v>LASK</v>
      </c>
      <c r="T31" s="23">
        <f>SUM(U31:W31)</f>
        <v>4</v>
      </c>
      <c r="U31" s="23">
        <f>SUMIF('Dummy Table'!B$16:B$19,'Group Stages'!S31,'Dummy Table'!Q$16:Q$19)</f>
        <v>2</v>
      </c>
      <c r="V31" s="23">
        <f>SUMIF('Dummy Table'!B$16:B$19,'Group Stages'!S31,'Dummy Table'!R$16:R$19)</f>
        <v>1</v>
      </c>
      <c r="W31" s="23">
        <f>SUMIF('Dummy Table'!B$16:B$19,'Group Stages'!S31,'Dummy Table'!S$16:S$19)</f>
        <v>1</v>
      </c>
      <c r="X31" s="23" t="str">
        <f>CONCATENATE(SUMIF('Dummy Table'!B$16:B$19,'Group Stages'!S31,'Dummy Table'!T$16:T$19)," - ",SUMIF('Dummy Table'!B$16:B$19,'Group Stages'!S31,'Dummy Table'!U$16:U$19))</f>
        <v>0 - 0</v>
      </c>
      <c r="Y31" s="106">
        <f>U31*3+V31*1</f>
        <v>7</v>
      </c>
      <c r="Z31" s="87"/>
      <c r="AA31" s="87"/>
      <c r="AC31" s="82" t="str">
        <f t="shared" si="0"/>
        <v>1Wolverhampton Wanderers</v>
      </c>
      <c r="AD31" s="82" t="str">
        <f t="shared" si="1"/>
        <v>1Sporting Braga</v>
      </c>
      <c r="AF31" s="107"/>
      <c r="DB31" s="99" t="s">
        <v>36</v>
      </c>
      <c r="DC31" s="100" t="s">
        <v>78</v>
      </c>
    </row>
    <row r="32" spans="2:107" s="81" customFormat="1" ht="15" customHeight="1">
      <c r="B32" s="84"/>
      <c r="C32" s="7"/>
      <c r="D32" s="169">
        <v>1</v>
      </c>
      <c r="E32" s="169" t="s">
        <v>9</v>
      </c>
      <c r="F32" s="104">
        <v>43727</v>
      </c>
      <c r="G32" s="26" t="s">
        <v>367</v>
      </c>
      <c r="H32" s="6"/>
      <c r="I32" s="14" t="s">
        <v>394</v>
      </c>
      <c r="J32" s="14" t="s">
        <v>4</v>
      </c>
      <c r="K32" s="14" t="s">
        <v>394</v>
      </c>
      <c r="L32" s="6"/>
      <c r="M32" s="34" t="s">
        <v>389</v>
      </c>
      <c r="N32" s="34" t="str">
        <f>VLOOKUP(G32,'Team Setup'!$B$5:$C$52,2,FALSE)</f>
        <v>Partizan Stadium</v>
      </c>
      <c r="O32" s="9"/>
      <c r="P32" s="85"/>
      <c r="Q32" s="86"/>
      <c r="R32" s="95"/>
      <c r="S32" s="105" t="str">
        <f>VLOOKUP(3,'Dummy Table'!$DG$16:$DH$19,2,FALSE)</f>
        <v>PSV Eindhoven</v>
      </c>
      <c r="T32" s="23">
        <f>SUM(U32:W32)</f>
        <v>4</v>
      </c>
      <c r="U32" s="23">
        <f>SUMIF('Dummy Table'!B$16:B$19,'Group Stages'!S32,'Dummy Table'!Q$16:Q$19)</f>
        <v>2</v>
      </c>
      <c r="V32" s="23">
        <f>SUMIF('Dummy Table'!B$16:B$19,'Group Stages'!S32,'Dummy Table'!R$16:R$19)</f>
        <v>1</v>
      </c>
      <c r="W32" s="23">
        <f>SUMIF('Dummy Table'!B$16:B$19,'Group Stages'!S32,'Dummy Table'!S$16:S$19)</f>
        <v>1</v>
      </c>
      <c r="X32" s="23" t="str">
        <f>CONCATENATE(SUMIF('Dummy Table'!B$16:B$19,'Group Stages'!S32,'Dummy Table'!T$16:T$19)," - ",SUMIF('Dummy Table'!B$16:B$19,'Group Stages'!S32,'Dummy Table'!U$16:U$19))</f>
        <v>0 - 0</v>
      </c>
      <c r="Y32" s="106">
        <f>U32*3+V32*1</f>
        <v>7</v>
      </c>
      <c r="Z32" s="87"/>
      <c r="AA32" s="87"/>
      <c r="AC32" s="82" t="str">
        <f t="shared" si="0"/>
        <v>1Partizan</v>
      </c>
      <c r="AD32" s="82" t="str">
        <f t="shared" si="1"/>
        <v>1AZ Alkmaar</v>
      </c>
      <c r="AF32" s="107"/>
      <c r="DB32" s="99" t="s">
        <v>25</v>
      </c>
      <c r="DC32" s="100" t="s">
        <v>79</v>
      </c>
    </row>
    <row r="33" spans="2:107" s="81" customFormat="1" ht="15" customHeight="1">
      <c r="B33" s="84"/>
      <c r="C33" s="7"/>
      <c r="D33" s="169">
        <v>1</v>
      </c>
      <c r="E33" s="169" t="s">
        <v>9</v>
      </c>
      <c r="F33" s="104">
        <v>43727</v>
      </c>
      <c r="G33" s="26" t="s">
        <v>368</v>
      </c>
      <c r="H33" s="6"/>
      <c r="I33" s="14" t="s">
        <v>392</v>
      </c>
      <c r="J33" s="14" t="s">
        <v>4</v>
      </c>
      <c r="K33" s="14" t="s">
        <v>391</v>
      </c>
      <c r="L33" s="6"/>
      <c r="M33" s="34" t="s">
        <v>388</v>
      </c>
      <c r="N33" s="34" t="str">
        <f>VLOOKUP(G33,'Team Setup'!$B$5:$C$52,2,FALSE)</f>
        <v>Old Trafford</v>
      </c>
      <c r="O33" s="9"/>
      <c r="P33" s="85"/>
      <c r="Q33" s="86"/>
      <c r="R33" s="95"/>
      <c r="S33" s="108" t="str">
        <f>VLOOKUP(4,'Dummy Table'!$DG$16:$DH$19,2,FALSE)</f>
        <v>Rosenborg BK</v>
      </c>
      <c r="T33" s="109">
        <f>SUM(U33:W33)</f>
        <v>4</v>
      </c>
      <c r="U33" s="109">
        <f>SUMIF('Dummy Table'!B$16:B$19,'Group Stages'!S33,'Dummy Table'!Q$16:Q$19)</f>
        <v>0</v>
      </c>
      <c r="V33" s="109">
        <f>SUMIF('Dummy Table'!B$16:B$19,'Group Stages'!S33,'Dummy Table'!R$16:R$19)</f>
        <v>0</v>
      </c>
      <c r="W33" s="109">
        <f>SUMIF('Dummy Table'!B$16:B$19,'Group Stages'!S33,'Dummy Table'!S$16:S$19)</f>
        <v>4</v>
      </c>
      <c r="X33" s="109" t="str">
        <f>CONCATENATE(SUMIF('Dummy Table'!B$16:B$19,'Group Stages'!S33,'Dummy Table'!T$16:T$19)," - ",SUMIF('Dummy Table'!B$16:B$19,'Group Stages'!S33,'Dummy Table'!U$16:U$19))</f>
        <v>0 - 0</v>
      </c>
      <c r="Y33" s="110">
        <f>U33*3+V33*1</f>
        <v>0</v>
      </c>
      <c r="Z33" s="87"/>
      <c r="AA33" s="87"/>
      <c r="AC33" s="82" t="str">
        <f t="shared" si="0"/>
        <v>1Manchester United</v>
      </c>
      <c r="AD33" s="82" t="str">
        <f t="shared" si="1"/>
        <v>1FK Astana</v>
      </c>
      <c r="AF33" s="107"/>
      <c r="DB33" s="99" t="s">
        <v>43</v>
      </c>
      <c r="DC33" s="100" t="s">
        <v>80</v>
      </c>
    </row>
    <row r="34" spans="2:107" s="81" customFormat="1" ht="15" customHeight="1">
      <c r="B34" s="84"/>
      <c r="C34" s="7"/>
      <c r="D34" s="169">
        <f>D10+1</f>
        <v>2</v>
      </c>
      <c r="E34" s="169" t="s">
        <v>15</v>
      </c>
      <c r="F34" s="104">
        <v>43741</v>
      </c>
      <c r="G34" s="26" t="s">
        <v>369</v>
      </c>
      <c r="H34" s="6"/>
      <c r="I34" s="14" t="s">
        <v>392</v>
      </c>
      <c r="J34" s="14" t="s">
        <v>4</v>
      </c>
      <c r="K34" s="14" t="s">
        <v>391</v>
      </c>
      <c r="L34" s="6"/>
      <c r="M34" s="34" t="s">
        <v>347</v>
      </c>
      <c r="N34" s="34" t="str">
        <f>VLOOKUP(G34,'Team Setup'!$B$5:$C$52,2,FALSE)</f>
        <v>Ramón Sánchez Pizjuán</v>
      </c>
      <c r="O34" s="9"/>
      <c r="P34" s="85"/>
      <c r="Q34" s="86"/>
      <c r="R34" s="95"/>
      <c r="S34" s="85"/>
      <c r="T34" s="85"/>
      <c r="U34" s="85"/>
      <c r="V34" s="85"/>
      <c r="W34" s="85"/>
      <c r="X34" s="85"/>
      <c r="Y34" s="85"/>
      <c r="Z34" s="87"/>
      <c r="AA34" s="87"/>
      <c r="AC34" s="82" t="str">
        <f t="shared" si="0"/>
        <v>2Sevilla FC</v>
      </c>
      <c r="AD34" s="82" t="str">
        <f t="shared" si="1"/>
        <v>2APOEL Nikosia</v>
      </c>
      <c r="DB34" s="99" t="s">
        <v>45</v>
      </c>
      <c r="DC34" s="100" t="s">
        <v>81</v>
      </c>
    </row>
    <row r="35" spans="2:107" s="81" customFormat="1" ht="15" customHeight="1">
      <c r="B35" s="84"/>
      <c r="C35" s="7"/>
      <c r="D35" s="169">
        <f t="shared" ref="D35:D98" si="2">D11+1</f>
        <v>2</v>
      </c>
      <c r="E35" s="169" t="s">
        <v>15</v>
      </c>
      <c r="F35" s="104">
        <v>43741</v>
      </c>
      <c r="G35" s="26" t="s">
        <v>332</v>
      </c>
      <c r="H35" s="6"/>
      <c r="I35" s="14" t="s">
        <v>392</v>
      </c>
      <c r="J35" s="14" t="s">
        <v>4</v>
      </c>
      <c r="K35" s="14" t="s">
        <v>395</v>
      </c>
      <c r="L35" s="6"/>
      <c r="M35" s="34" t="s">
        <v>348</v>
      </c>
      <c r="N35" s="34" t="str">
        <f>VLOOKUP(G35,'Team Setup'!$B$5:$C$52,2,FALSE)</f>
        <v>Stade Josy Barthel</v>
      </c>
      <c r="O35" s="9"/>
      <c r="P35" s="85"/>
      <c r="Q35" s="86"/>
      <c r="R35" s="95"/>
      <c r="S35" s="85"/>
      <c r="T35" s="85"/>
      <c r="U35" s="85"/>
      <c r="V35" s="85"/>
      <c r="W35" s="85"/>
      <c r="X35" s="85"/>
      <c r="Y35" s="85"/>
      <c r="Z35" s="87"/>
      <c r="AA35" s="87"/>
      <c r="AB35" s="85"/>
      <c r="AC35" s="82" t="str">
        <f t="shared" si="0"/>
        <v>2F91 Dudelange</v>
      </c>
      <c r="AD35" s="82" t="str">
        <f t="shared" si="1"/>
        <v>2Qarabağ FK</v>
      </c>
      <c r="DB35" s="111"/>
      <c r="DC35" s="100" t="s">
        <v>82</v>
      </c>
    </row>
    <row r="36" spans="2:107" s="81" customFormat="1" ht="15" customHeight="1">
      <c r="B36" s="84"/>
      <c r="C36" s="7"/>
      <c r="D36" s="169">
        <f t="shared" si="2"/>
        <v>2</v>
      </c>
      <c r="E36" s="169" t="s">
        <v>189</v>
      </c>
      <c r="F36" s="104">
        <v>43741</v>
      </c>
      <c r="G36" s="26" t="s">
        <v>370</v>
      </c>
      <c r="H36" s="6"/>
      <c r="I36" s="14" t="s">
        <v>391</v>
      </c>
      <c r="J36" s="14" t="s">
        <v>4</v>
      </c>
      <c r="K36" s="14" t="s">
        <v>391</v>
      </c>
      <c r="L36" s="6"/>
      <c r="M36" s="34" t="s">
        <v>349</v>
      </c>
      <c r="N36" s="34" t="str">
        <f>VLOOKUP(G36,'Team Setup'!$B$5:$C$52,2,FALSE)</f>
        <v>Kybunpark, St Gallen</v>
      </c>
      <c r="O36" s="9"/>
      <c r="P36" s="85"/>
      <c r="Q36" s="86"/>
      <c r="R36" s="95"/>
      <c r="S36" s="96" t="s">
        <v>164</v>
      </c>
      <c r="T36" s="97" t="s">
        <v>53</v>
      </c>
      <c r="U36" s="97" t="s">
        <v>7</v>
      </c>
      <c r="V36" s="97" t="s">
        <v>8</v>
      </c>
      <c r="W36" s="97" t="s">
        <v>9</v>
      </c>
      <c r="X36" s="97" t="s">
        <v>10</v>
      </c>
      <c r="Y36" s="98" t="s">
        <v>54</v>
      </c>
      <c r="Z36" s="87"/>
      <c r="AA36" s="87"/>
      <c r="AC36" s="82" t="str">
        <f t="shared" si="0"/>
        <v>2FC Lugano</v>
      </c>
      <c r="AD36" s="82" t="str">
        <f t="shared" si="1"/>
        <v>2Dinamo Kiev</v>
      </c>
      <c r="DB36" s="111"/>
      <c r="DC36" s="100" t="s">
        <v>83</v>
      </c>
    </row>
    <row r="37" spans="2:107" s="81" customFormat="1" ht="15" customHeight="1">
      <c r="B37" s="84"/>
      <c r="C37" s="7"/>
      <c r="D37" s="169">
        <f t="shared" si="2"/>
        <v>2</v>
      </c>
      <c r="E37" s="169" t="s">
        <v>189</v>
      </c>
      <c r="F37" s="104">
        <v>43741</v>
      </c>
      <c r="G37" s="26" t="s">
        <v>371</v>
      </c>
      <c r="H37" s="6"/>
      <c r="I37" s="14" t="s">
        <v>392</v>
      </c>
      <c r="J37" s="14" t="s">
        <v>4</v>
      </c>
      <c r="K37" s="14" t="s">
        <v>392</v>
      </c>
      <c r="L37" s="6"/>
      <c r="M37" s="34" t="s">
        <v>350</v>
      </c>
      <c r="N37" s="34" t="str">
        <f>VLOOKUP(G37,'Team Setup'!$B$5:$C$52,2,FALSE)</f>
        <v>Malmo</v>
      </c>
      <c r="O37" s="9"/>
      <c r="P37" s="85"/>
      <c r="Q37" s="86"/>
      <c r="R37" s="95"/>
      <c r="S37" s="101" t="str">
        <f>VLOOKUP(1,'Dummy Table'!$DG$20:$DH$23,2,FALSE)</f>
        <v>Celtic FC</v>
      </c>
      <c r="T37" s="102">
        <f>SUM(U37:W37)</f>
        <v>4</v>
      </c>
      <c r="U37" s="102">
        <f>SUMIF('Dummy Table'!B$20:B$23,'Group Stages'!S37,'Dummy Table'!Q$20:Q$23)</f>
        <v>3</v>
      </c>
      <c r="V37" s="102">
        <f>SUMIF('Dummy Table'!B$20:B$23,'Group Stages'!S37,'Dummy Table'!R$20:R$23)</f>
        <v>1</v>
      </c>
      <c r="W37" s="102">
        <f>SUMIF('Dummy Table'!B$20:B$23,'Group Stages'!S37,'Dummy Table'!S$20:S$23)</f>
        <v>0</v>
      </c>
      <c r="X37" s="102" t="str">
        <f>CONCATENATE(SUMIF('Dummy Table'!B$20:B$23,'Group Stages'!S37,'Dummy Table'!T$20:T$23)," - ",SUMIF('Dummy Table'!B$20:B$23,'Group Stages'!S37,'Dummy Table'!U$20:U$23))</f>
        <v>0 - 0</v>
      </c>
      <c r="Y37" s="103">
        <f>U37*3+V37*1</f>
        <v>10</v>
      </c>
      <c r="Z37" s="87"/>
      <c r="AA37" s="87"/>
      <c r="AC37" s="82" t="str">
        <f t="shared" si="0"/>
        <v>2Malmö FF</v>
      </c>
      <c r="AD37" s="82" t="str">
        <f t="shared" si="1"/>
        <v>2FC København</v>
      </c>
      <c r="DB37" s="83"/>
      <c r="DC37" s="100" t="s">
        <v>84</v>
      </c>
    </row>
    <row r="38" spans="2:107" s="81" customFormat="1" ht="15" customHeight="1">
      <c r="B38" s="84"/>
      <c r="C38" s="7"/>
      <c r="D38" s="169">
        <f t="shared" si="2"/>
        <v>2</v>
      </c>
      <c r="E38" s="169" t="s">
        <v>190</v>
      </c>
      <c r="F38" s="104">
        <v>43741</v>
      </c>
      <c r="G38" s="26" t="s">
        <v>372</v>
      </c>
      <c r="H38" s="6"/>
      <c r="I38" s="14" t="s">
        <v>394</v>
      </c>
      <c r="J38" s="14" t="s">
        <v>4</v>
      </c>
      <c r="K38" s="14" t="s">
        <v>394</v>
      </c>
      <c r="L38" s="6"/>
      <c r="M38" s="34" t="s">
        <v>351</v>
      </c>
      <c r="N38" s="34" t="str">
        <f>VLOOKUP(G38,'Team Setup'!$B$5:$C$52,2,FALSE)</f>
        <v>Şenol Güneş Stadium</v>
      </c>
      <c r="O38" s="9"/>
      <c r="P38" s="85"/>
      <c r="Q38" s="112"/>
      <c r="R38" s="113"/>
      <c r="S38" s="105" t="str">
        <f>VLOOKUP(2,'Dummy Table'!$DG$20:$DH$23,2,FALSE)</f>
        <v>CFR Cluj</v>
      </c>
      <c r="T38" s="23">
        <f>SUM(U38:W38)</f>
        <v>4</v>
      </c>
      <c r="U38" s="23">
        <f>SUMIF('Dummy Table'!B$20:B$23,'Group Stages'!S38,'Dummy Table'!Q$20:Q$23)</f>
        <v>3</v>
      </c>
      <c r="V38" s="23">
        <f>SUMIF('Dummy Table'!B$20:B$23,'Group Stages'!S38,'Dummy Table'!R$20:R$23)</f>
        <v>0</v>
      </c>
      <c r="W38" s="23">
        <f>SUMIF('Dummy Table'!B$20:B$23,'Group Stages'!S38,'Dummy Table'!S$20:S$23)</f>
        <v>1</v>
      </c>
      <c r="X38" s="23" t="str">
        <f>CONCATENATE(SUMIF('Dummy Table'!B$20:B$23,'Group Stages'!S38,'Dummy Table'!T$20:T$23)," - ",SUMIF('Dummy Table'!B$20:B$23,'Group Stages'!S38,'Dummy Table'!U$20:U$23))</f>
        <v>0 - 0</v>
      </c>
      <c r="Y38" s="106">
        <f>U38*3+V38*1</f>
        <v>9</v>
      </c>
      <c r="Z38" s="114"/>
      <c r="AA38" s="114"/>
      <c r="AC38" s="82" t="str">
        <f t="shared" si="0"/>
        <v>2Trabzonspor</v>
      </c>
      <c r="AD38" s="82" t="str">
        <f t="shared" si="1"/>
        <v>2FC Basel</v>
      </c>
      <c r="DB38" s="83"/>
      <c r="DC38" s="100" t="s">
        <v>85</v>
      </c>
    </row>
    <row r="39" spans="2:107" s="81" customFormat="1" ht="15" customHeight="1">
      <c r="B39" s="84"/>
      <c r="C39" s="7"/>
      <c r="D39" s="169">
        <f t="shared" si="2"/>
        <v>2</v>
      </c>
      <c r="E39" s="169" t="s">
        <v>190</v>
      </c>
      <c r="F39" s="104">
        <v>43741</v>
      </c>
      <c r="G39" s="26" t="s">
        <v>373</v>
      </c>
      <c r="H39" s="6"/>
      <c r="I39" s="14" t="s">
        <v>392</v>
      </c>
      <c r="J39" s="14" t="s">
        <v>4</v>
      </c>
      <c r="K39" s="14" t="s">
        <v>394</v>
      </c>
      <c r="L39" s="6"/>
      <c r="M39" s="34" t="s">
        <v>352</v>
      </c>
      <c r="N39" s="34" t="str">
        <f>VLOOKUP(G39,'Team Setup'!$B$5:$C$52,2,FALSE)</f>
        <v>Krasnodar Stadium</v>
      </c>
      <c r="O39" s="9"/>
      <c r="P39" s="85"/>
      <c r="Q39" s="115"/>
      <c r="R39" s="113"/>
      <c r="S39" s="105" t="str">
        <f>VLOOKUP(3,'Dummy Table'!$DG$20:$DH$23,2,FALSE)</f>
        <v>Lazio</v>
      </c>
      <c r="T39" s="23">
        <f>SUM(U39:W39)</f>
        <v>4</v>
      </c>
      <c r="U39" s="23">
        <f>SUMIF('Dummy Table'!B$20:B$23,'Group Stages'!S39,'Dummy Table'!Q$20:Q$23)</f>
        <v>1</v>
      </c>
      <c r="V39" s="23">
        <f>SUMIF('Dummy Table'!B$20:B$23,'Group Stages'!S39,'Dummy Table'!R$20:R$23)</f>
        <v>0</v>
      </c>
      <c r="W39" s="23">
        <f>SUMIF('Dummy Table'!B$20:B$23,'Group Stages'!S39,'Dummy Table'!S$20:S$23)</f>
        <v>3</v>
      </c>
      <c r="X39" s="23" t="str">
        <f>CONCATENATE(SUMIF('Dummy Table'!B$20:B$23,'Group Stages'!S39,'Dummy Table'!T$20:T$23)," - ",SUMIF('Dummy Table'!B$20:B$23,'Group Stages'!S39,'Dummy Table'!U$20:U$23))</f>
        <v>0 - 0</v>
      </c>
      <c r="Y39" s="106">
        <f>U39*3+V39*1</f>
        <v>3</v>
      </c>
      <c r="Z39" s="116"/>
      <c r="AA39" s="116"/>
      <c r="AC39" s="82" t="str">
        <f t="shared" si="0"/>
        <v>2FK Krasnodar</v>
      </c>
      <c r="AD39" s="82" t="str">
        <f t="shared" si="1"/>
        <v>2Getafe CF</v>
      </c>
      <c r="DB39" s="83"/>
      <c r="DC39" s="100" t="s">
        <v>86</v>
      </c>
    </row>
    <row r="40" spans="2:107" s="81" customFormat="1" ht="15" customHeight="1">
      <c r="B40" s="84"/>
      <c r="C40" s="7"/>
      <c r="D40" s="169">
        <f t="shared" si="2"/>
        <v>2</v>
      </c>
      <c r="E40" s="169" t="s">
        <v>8</v>
      </c>
      <c r="F40" s="104">
        <v>43741</v>
      </c>
      <c r="G40" s="26" t="s">
        <v>331</v>
      </c>
      <c r="H40" s="6"/>
      <c r="I40" s="14" t="s">
        <v>394</v>
      </c>
      <c r="J40" s="14" t="s">
        <v>4</v>
      </c>
      <c r="K40" s="14" t="s">
        <v>392</v>
      </c>
      <c r="L40" s="6"/>
      <c r="M40" s="34" t="s">
        <v>353</v>
      </c>
      <c r="N40" s="34" t="str">
        <f>VLOOKUP(G40,'Team Setup'!$B$5:$C$52,2,FALSE)</f>
        <v>Estadio Jose Alvalade</v>
      </c>
      <c r="O40" s="9"/>
      <c r="P40" s="85"/>
      <c r="Q40" s="115"/>
      <c r="R40" s="113"/>
      <c r="S40" s="108" t="str">
        <f>VLOOKUP(4,'Dummy Table'!$DG$20:$DH$23,2,FALSE)</f>
        <v>Stade Rennes</v>
      </c>
      <c r="T40" s="109">
        <f>SUM(U40:W40)</f>
        <v>4</v>
      </c>
      <c r="U40" s="109">
        <f>SUMIF('Dummy Table'!B$20:B$23,'Group Stages'!S40,'Dummy Table'!Q$20:Q$23)</f>
        <v>0</v>
      </c>
      <c r="V40" s="109">
        <f>SUMIF('Dummy Table'!B$20:B$23,'Group Stages'!S40,'Dummy Table'!R$20:R$23)</f>
        <v>1</v>
      </c>
      <c r="W40" s="109">
        <f>SUMIF('Dummy Table'!B$20:B$23,'Group Stages'!S40,'Dummy Table'!S$20:S$23)</f>
        <v>3</v>
      </c>
      <c r="X40" s="109" t="str">
        <f>CONCATENATE(SUMIF('Dummy Table'!B$20:B$23,'Group Stages'!S40,'Dummy Table'!T$20:T$23)," - ",SUMIF('Dummy Table'!B$20:B$23,'Group Stages'!S40,'Dummy Table'!U$20:U$23))</f>
        <v>0 - 0</v>
      </c>
      <c r="Y40" s="110">
        <f>U40*3+V40*1</f>
        <v>1</v>
      </c>
      <c r="Z40" s="116"/>
      <c r="AA40" s="116"/>
      <c r="AC40" s="82" t="str">
        <f t="shared" si="0"/>
        <v>2Sporting CP</v>
      </c>
      <c r="AD40" s="82" t="str">
        <f t="shared" si="1"/>
        <v>2LASK</v>
      </c>
      <c r="DB40" s="83"/>
      <c r="DC40" s="100" t="s">
        <v>87</v>
      </c>
    </row>
    <row r="41" spans="2:107" s="81" customFormat="1" ht="15" customHeight="1">
      <c r="B41" s="84"/>
      <c r="C41" s="7"/>
      <c r="D41" s="169">
        <f t="shared" si="2"/>
        <v>2</v>
      </c>
      <c r="E41" s="169" t="s">
        <v>8</v>
      </c>
      <c r="F41" s="104">
        <v>43741</v>
      </c>
      <c r="G41" s="26" t="s">
        <v>374</v>
      </c>
      <c r="H41" s="6"/>
      <c r="I41" s="14" t="s">
        <v>392</v>
      </c>
      <c r="J41" s="14" t="s">
        <v>4</v>
      </c>
      <c r="K41" s="14" t="s">
        <v>395</v>
      </c>
      <c r="L41" s="6"/>
      <c r="M41" s="34" t="s">
        <v>354</v>
      </c>
      <c r="N41" s="34" t="str">
        <f>VLOOKUP(G41,'Team Setup'!$B$5:$C$52,2,FALSE)</f>
        <v>Lerkendal Stadion</v>
      </c>
      <c r="O41" s="9"/>
      <c r="P41" s="85"/>
      <c r="Q41" s="115"/>
      <c r="R41" s="113"/>
      <c r="S41" s="27"/>
      <c r="T41" s="27"/>
      <c r="U41" s="27"/>
      <c r="V41" s="27"/>
      <c r="W41" s="27"/>
      <c r="X41" s="27"/>
      <c r="Y41" s="27"/>
      <c r="Z41" s="116"/>
      <c r="AA41" s="116"/>
      <c r="AC41" s="82" t="str">
        <f t="shared" si="0"/>
        <v>2Rosenborg BK</v>
      </c>
      <c r="AD41" s="82" t="str">
        <f t="shared" si="1"/>
        <v>2PSV Eindhoven</v>
      </c>
      <c r="DB41" s="83"/>
      <c r="DC41" s="100" t="s">
        <v>88</v>
      </c>
    </row>
    <row r="42" spans="2:107" s="81" customFormat="1" ht="15" customHeight="1">
      <c r="B42" s="84"/>
      <c r="C42" s="7"/>
      <c r="D42" s="169">
        <f t="shared" si="2"/>
        <v>2</v>
      </c>
      <c r="E42" s="169" t="s">
        <v>191</v>
      </c>
      <c r="F42" s="104">
        <v>43741</v>
      </c>
      <c r="G42" s="26" t="s">
        <v>375</v>
      </c>
      <c r="H42" s="6"/>
      <c r="I42" s="14" t="s">
        <v>394</v>
      </c>
      <c r="J42" s="14" t="s">
        <v>4</v>
      </c>
      <c r="K42" s="14" t="s">
        <v>391</v>
      </c>
      <c r="L42" s="6"/>
      <c r="M42" s="34" t="s">
        <v>356</v>
      </c>
      <c r="N42" s="34" t="str">
        <f>VLOOKUP(G42,'Team Setup'!$B$5:$C$52,2,FALSE)</f>
        <v>Celtic Park</v>
      </c>
      <c r="O42" s="9"/>
      <c r="P42" s="85"/>
      <c r="Q42" s="115"/>
      <c r="R42" s="113"/>
      <c r="S42" s="27"/>
      <c r="T42" s="27"/>
      <c r="U42" s="27"/>
      <c r="V42" s="27"/>
      <c r="W42" s="27"/>
      <c r="X42" s="27"/>
      <c r="Y42" s="27"/>
      <c r="Z42" s="116"/>
      <c r="AA42" s="116"/>
      <c r="AC42" s="82" t="str">
        <f t="shared" si="0"/>
        <v>2Celtic FC</v>
      </c>
      <c r="AD42" s="82" t="str">
        <f t="shared" si="1"/>
        <v>2CFR Cluj</v>
      </c>
      <c r="DB42" s="83"/>
      <c r="DC42" s="100" t="s">
        <v>89</v>
      </c>
    </row>
    <row r="43" spans="2:107" s="81" customFormat="1" ht="15" customHeight="1">
      <c r="B43" s="84"/>
      <c r="C43" s="7"/>
      <c r="D43" s="169">
        <f t="shared" si="2"/>
        <v>2</v>
      </c>
      <c r="E43" s="169" t="s">
        <v>191</v>
      </c>
      <c r="F43" s="104">
        <v>43741</v>
      </c>
      <c r="G43" s="26" t="s">
        <v>239</v>
      </c>
      <c r="H43" s="6"/>
      <c r="I43" s="14" t="s">
        <v>394</v>
      </c>
      <c r="J43" s="14" t="s">
        <v>4</v>
      </c>
      <c r="K43" s="14" t="s">
        <v>392</v>
      </c>
      <c r="L43" s="6"/>
      <c r="M43" s="34" t="s">
        <v>355</v>
      </c>
      <c r="N43" s="34" t="str">
        <f>VLOOKUP(G43,'Team Setup'!$B$5:$C$52,2,FALSE)</f>
        <v>Olimpico</v>
      </c>
      <c r="O43" s="9"/>
      <c r="P43" s="85"/>
      <c r="Q43" s="115"/>
      <c r="R43" s="113"/>
      <c r="S43" s="96" t="s">
        <v>165</v>
      </c>
      <c r="T43" s="97" t="s">
        <v>53</v>
      </c>
      <c r="U43" s="97" t="s">
        <v>7</v>
      </c>
      <c r="V43" s="97" t="s">
        <v>8</v>
      </c>
      <c r="W43" s="97" t="s">
        <v>9</v>
      </c>
      <c r="X43" s="97" t="s">
        <v>10</v>
      </c>
      <c r="Y43" s="98" t="s">
        <v>54</v>
      </c>
      <c r="Z43" s="116"/>
      <c r="AA43" s="116"/>
      <c r="AC43" s="82" t="str">
        <f t="shared" si="0"/>
        <v>2Lazio</v>
      </c>
      <c r="AD43" s="82" t="str">
        <f t="shared" si="1"/>
        <v>2Stade Rennes</v>
      </c>
      <c r="DB43" s="83"/>
      <c r="DC43" s="100" t="s">
        <v>90</v>
      </c>
    </row>
    <row r="44" spans="2:107" s="81" customFormat="1" ht="15" customHeight="1">
      <c r="B44" s="84"/>
      <c r="C44" s="7"/>
      <c r="D44" s="169">
        <f t="shared" si="2"/>
        <v>2</v>
      </c>
      <c r="E44" s="169" t="s">
        <v>14</v>
      </c>
      <c r="F44" s="104">
        <v>43741</v>
      </c>
      <c r="G44" s="26" t="s">
        <v>376</v>
      </c>
      <c r="H44" s="6"/>
      <c r="I44" s="14" t="s">
        <v>395</v>
      </c>
      <c r="J44" s="14" t="s">
        <v>4</v>
      </c>
      <c r="K44" s="14" t="s">
        <v>391</v>
      </c>
      <c r="L44" s="6"/>
      <c r="M44" s="34" t="s">
        <v>357</v>
      </c>
      <c r="N44" s="34" t="str">
        <f>VLOOKUP(G44,'Team Setup'!$B$5:$C$52,2,FALSE)</f>
        <v>Emirates Stadium</v>
      </c>
      <c r="O44" s="9"/>
      <c r="P44" s="85"/>
      <c r="Q44" s="115"/>
      <c r="R44" s="113"/>
      <c r="S44" s="101" t="str">
        <f>VLOOKUP(1,'Dummy Table'!$DG$24:$DH$27,2,FALSE)</f>
        <v>Arsenal FC</v>
      </c>
      <c r="T44" s="102">
        <f>SUM(U44:W44)</f>
        <v>4</v>
      </c>
      <c r="U44" s="102">
        <f>SUMIF('Dummy Table'!B$24:B$27,'Group Stages'!S44,'Dummy Table'!Q$24:Q$27)</f>
        <v>3</v>
      </c>
      <c r="V44" s="102">
        <f>SUMIF('Dummy Table'!B$24:B$27,'Group Stages'!S44,'Dummy Table'!R$24:R$27)</f>
        <v>1</v>
      </c>
      <c r="W44" s="102">
        <f>SUMIF('Dummy Table'!B$24:B$27,'Group Stages'!S44,'Dummy Table'!S$24:S$27)</f>
        <v>0</v>
      </c>
      <c r="X44" s="102" t="str">
        <f>CONCATENATE(SUMIF('Dummy Table'!B$24:B$27,'Group Stages'!S44,'Dummy Table'!T$24:T$27)," - ",SUMIF('Dummy Table'!B$24:B$27,'Group Stages'!S44,'Dummy Table'!U$24:U$27))</f>
        <v>0 - 0</v>
      </c>
      <c r="Y44" s="103">
        <f>U44*3+V44*1</f>
        <v>10</v>
      </c>
      <c r="Z44" s="116"/>
      <c r="AA44" s="116"/>
      <c r="AC44" s="82" t="str">
        <f t="shared" si="0"/>
        <v>2Arsenal FC</v>
      </c>
      <c r="AD44" s="82" t="str">
        <f t="shared" si="1"/>
        <v>2Standard Liège</v>
      </c>
      <c r="DB44" s="83"/>
      <c r="DC44" s="100" t="s">
        <v>91</v>
      </c>
    </row>
    <row r="45" spans="2:107" s="81" customFormat="1" ht="15" customHeight="1">
      <c r="B45" s="84"/>
      <c r="C45" s="7"/>
      <c r="D45" s="169">
        <f t="shared" si="2"/>
        <v>2</v>
      </c>
      <c r="E45" s="169" t="s">
        <v>14</v>
      </c>
      <c r="F45" s="104">
        <v>43741</v>
      </c>
      <c r="G45" s="26" t="s">
        <v>377</v>
      </c>
      <c r="H45" s="6"/>
      <c r="I45" s="14" t="s">
        <v>391</v>
      </c>
      <c r="J45" s="14" t="s">
        <v>4</v>
      </c>
      <c r="K45" s="14" t="s">
        <v>392</v>
      </c>
      <c r="L45" s="6"/>
      <c r="M45" s="34" t="s">
        <v>333</v>
      </c>
      <c r="N45" s="34" t="str">
        <f>VLOOKUP(G45,'Team Setup'!$B$5:$C$52,2,FALSE)</f>
        <v>Estádio D. Afonso Henriques</v>
      </c>
      <c r="O45" s="9"/>
      <c r="P45" s="85"/>
      <c r="Q45" s="115"/>
      <c r="R45" s="113"/>
      <c r="S45" s="105" t="str">
        <f>VLOOKUP(2,'Dummy Table'!$DG$24:$DH$27,2,FALSE)</f>
        <v>Eintracht Frankfurt</v>
      </c>
      <c r="T45" s="23">
        <f>SUM(U45:W45)</f>
        <v>4</v>
      </c>
      <c r="U45" s="23">
        <f>SUMIF('Dummy Table'!B$24:B$27,'Group Stages'!S45,'Dummy Table'!Q$24:Q$27)</f>
        <v>2</v>
      </c>
      <c r="V45" s="23">
        <f>SUMIF('Dummy Table'!B$24:B$27,'Group Stages'!S45,'Dummy Table'!R$24:R$27)</f>
        <v>0</v>
      </c>
      <c r="W45" s="23">
        <f>SUMIF('Dummy Table'!B$24:B$27,'Group Stages'!S45,'Dummy Table'!S$24:S$27)</f>
        <v>2</v>
      </c>
      <c r="X45" s="23" t="str">
        <f>CONCATENATE(SUMIF('Dummy Table'!B$24:B$27,'Group Stages'!S45,'Dummy Table'!T$24:T$27)," - ",SUMIF('Dummy Table'!B$24:B$27,'Group Stages'!S45,'Dummy Table'!U$24:U$27))</f>
        <v>0 - 0</v>
      </c>
      <c r="Y45" s="106">
        <f>U45*3+V45*1</f>
        <v>6</v>
      </c>
      <c r="Z45" s="116"/>
      <c r="AA45" s="116"/>
      <c r="AC45" s="82" t="str">
        <f t="shared" si="0"/>
        <v>2Vitória Guimarães</v>
      </c>
      <c r="AD45" s="82" t="str">
        <f t="shared" si="1"/>
        <v>2Eintracht Frankfurt</v>
      </c>
      <c r="DB45" s="83"/>
      <c r="DC45" s="100" t="s">
        <v>92</v>
      </c>
    </row>
    <row r="46" spans="2:107" s="81" customFormat="1" ht="15" customHeight="1">
      <c r="B46" s="84"/>
      <c r="C46" s="7"/>
      <c r="D46" s="169">
        <f t="shared" si="2"/>
        <v>2</v>
      </c>
      <c r="E46" s="169" t="s">
        <v>192</v>
      </c>
      <c r="F46" s="104">
        <v>43741</v>
      </c>
      <c r="G46" s="26" t="s">
        <v>378</v>
      </c>
      <c r="H46" s="6"/>
      <c r="I46" s="14" t="s">
        <v>394</v>
      </c>
      <c r="J46" s="14" t="s">
        <v>4</v>
      </c>
      <c r="K46" s="14" t="s">
        <v>392</v>
      </c>
      <c r="L46" s="6"/>
      <c r="M46" s="34" t="s">
        <v>359</v>
      </c>
      <c r="N46" s="34" t="str">
        <f>VLOOKUP(G46,'Team Setup'!$B$5:$C$52,2,FALSE)</f>
        <v>Stade de Suisse</v>
      </c>
      <c r="O46" s="9"/>
      <c r="P46" s="85"/>
      <c r="Q46" s="115"/>
      <c r="R46" s="113"/>
      <c r="S46" s="105" t="str">
        <f>VLOOKUP(3,'Dummy Table'!$DG$24:$DH$27,2,FALSE)</f>
        <v>Standard Liège</v>
      </c>
      <c r="T46" s="23">
        <f>SUM(U46:W46)</f>
        <v>4</v>
      </c>
      <c r="U46" s="23">
        <f>SUMIF('Dummy Table'!B$24:B$27,'Group Stages'!S46,'Dummy Table'!Q$24:Q$27)</f>
        <v>2</v>
      </c>
      <c r="V46" s="23">
        <f>SUMIF('Dummy Table'!B$24:B$27,'Group Stages'!S46,'Dummy Table'!R$24:R$27)</f>
        <v>0</v>
      </c>
      <c r="W46" s="23">
        <f>SUMIF('Dummy Table'!B$24:B$27,'Group Stages'!S46,'Dummy Table'!S$24:S$27)</f>
        <v>2</v>
      </c>
      <c r="X46" s="23" t="str">
        <f>CONCATENATE(SUMIF('Dummy Table'!B$24:B$27,'Group Stages'!S46,'Dummy Table'!T$24:T$27)," - ",SUMIF('Dummy Table'!B$24:B$27,'Group Stages'!S46,'Dummy Table'!U$24:U$27))</f>
        <v>0 - 0</v>
      </c>
      <c r="Y46" s="106">
        <f>U46*3+V46*1</f>
        <v>6</v>
      </c>
      <c r="Z46" s="116"/>
      <c r="AA46" s="116"/>
      <c r="AC46" s="82" t="str">
        <f t="shared" si="0"/>
        <v>2BSC Young Boys</v>
      </c>
      <c r="AD46" s="82" t="str">
        <f t="shared" si="1"/>
        <v>2Rangers FC</v>
      </c>
      <c r="DB46" s="83"/>
      <c r="DC46" s="100" t="s">
        <v>93</v>
      </c>
    </row>
    <row r="47" spans="2:107" s="81" customFormat="1" ht="15" customHeight="1">
      <c r="B47" s="84"/>
      <c r="C47" s="7"/>
      <c r="D47" s="169">
        <f t="shared" si="2"/>
        <v>2</v>
      </c>
      <c r="E47" s="169" t="s">
        <v>192</v>
      </c>
      <c r="F47" s="104">
        <v>43741</v>
      </c>
      <c r="G47" s="26" t="s">
        <v>379</v>
      </c>
      <c r="H47" s="6"/>
      <c r="I47" s="14" t="s">
        <v>394</v>
      </c>
      <c r="J47" s="14" t="s">
        <v>4</v>
      </c>
      <c r="K47" s="14" t="s">
        <v>391</v>
      </c>
      <c r="L47" s="6"/>
      <c r="M47" s="34" t="s">
        <v>358</v>
      </c>
      <c r="N47" s="34" t="str">
        <f>VLOOKUP(G47,'Team Setup'!$B$5:$C$52,2,FALSE)</f>
        <v>De Kuip</v>
      </c>
      <c r="O47" s="9"/>
      <c r="P47" s="85"/>
      <c r="Q47" s="115"/>
      <c r="R47" s="113"/>
      <c r="S47" s="108" t="str">
        <f>VLOOKUP(4,'Dummy Table'!$DG$24:$DH$27,2,FALSE)</f>
        <v>Vitória Guimarães</v>
      </c>
      <c r="T47" s="109">
        <f>SUM(U47:W47)</f>
        <v>4</v>
      </c>
      <c r="U47" s="109">
        <f>SUMIF('Dummy Table'!B$24:B$27,'Group Stages'!S47,'Dummy Table'!Q$24:Q$27)</f>
        <v>0</v>
      </c>
      <c r="V47" s="109">
        <f>SUMIF('Dummy Table'!B$24:B$27,'Group Stages'!S47,'Dummy Table'!R$24:R$27)</f>
        <v>1</v>
      </c>
      <c r="W47" s="109">
        <f>SUMIF('Dummy Table'!B$24:B$27,'Group Stages'!S47,'Dummy Table'!S$24:S$27)</f>
        <v>3</v>
      </c>
      <c r="X47" s="109" t="str">
        <f>CONCATENATE(SUMIF('Dummy Table'!B$24:B$27,'Group Stages'!S47,'Dummy Table'!T$24:T$27)," - ",SUMIF('Dummy Table'!B$24:B$27,'Group Stages'!S47,'Dummy Table'!U$24:U$27))</f>
        <v>0 - 0</v>
      </c>
      <c r="Y47" s="110">
        <f>U47*3+V47*1</f>
        <v>1</v>
      </c>
      <c r="Z47" s="116"/>
      <c r="AA47" s="116"/>
      <c r="AC47" s="82" t="str">
        <f t="shared" si="0"/>
        <v>2Feyenoord</v>
      </c>
      <c r="AD47" s="82" t="str">
        <f t="shared" si="1"/>
        <v>2FC Porto</v>
      </c>
      <c r="DB47" s="83"/>
      <c r="DC47" s="100" t="s">
        <v>94</v>
      </c>
    </row>
    <row r="48" spans="2:107" s="81" customFormat="1" ht="15" customHeight="1">
      <c r="B48" s="84"/>
      <c r="C48" s="7"/>
      <c r="D48" s="169">
        <f t="shared" si="2"/>
        <v>2</v>
      </c>
      <c r="E48" s="169" t="s">
        <v>193</v>
      </c>
      <c r="F48" s="104">
        <v>43741</v>
      </c>
      <c r="G48" s="26" t="s">
        <v>380</v>
      </c>
      <c r="H48" s="6"/>
      <c r="I48" s="14" t="s">
        <v>391</v>
      </c>
      <c r="J48" s="14" t="s">
        <v>4</v>
      </c>
      <c r="K48" s="14" t="s">
        <v>394</v>
      </c>
      <c r="L48" s="6"/>
      <c r="M48" s="34" t="s">
        <v>436</v>
      </c>
      <c r="N48" s="34" t="str">
        <f>VLOOKUP(G48,'Team Setup'!$B$5:$C$52,2,FALSE)</f>
        <v>VEB Arena</v>
      </c>
      <c r="O48" s="9"/>
      <c r="P48" s="85"/>
      <c r="Q48" s="115"/>
      <c r="R48" s="113"/>
      <c r="S48" s="27"/>
      <c r="T48" s="27"/>
      <c r="U48" s="27"/>
      <c r="V48" s="27"/>
      <c r="W48" s="27"/>
      <c r="X48" s="27"/>
      <c r="Y48" s="27"/>
      <c r="Z48" s="116"/>
      <c r="AA48" s="116"/>
      <c r="AC48" s="82" t="str">
        <f t="shared" si="0"/>
        <v>2CSKA Moskva</v>
      </c>
      <c r="AD48" s="82" t="str">
        <f t="shared" si="1"/>
        <v>2Espanyol</v>
      </c>
      <c r="DB48" s="83"/>
      <c r="DC48" s="100" t="s">
        <v>95</v>
      </c>
    </row>
    <row r="49" spans="2:107" s="81" customFormat="1" ht="15" customHeight="1">
      <c r="B49" s="84"/>
      <c r="C49" s="7"/>
      <c r="D49" s="169">
        <f t="shared" si="2"/>
        <v>2</v>
      </c>
      <c r="E49" s="169" t="s">
        <v>193</v>
      </c>
      <c r="F49" s="104">
        <v>43741</v>
      </c>
      <c r="G49" s="26" t="s">
        <v>381</v>
      </c>
      <c r="H49" s="6"/>
      <c r="I49" s="14" t="s">
        <v>391</v>
      </c>
      <c r="J49" s="14" t="s">
        <v>4</v>
      </c>
      <c r="K49" s="14" t="s">
        <v>390</v>
      </c>
      <c r="L49" s="6"/>
      <c r="M49" s="34" t="s">
        <v>360</v>
      </c>
      <c r="N49" s="34" t="str">
        <f>VLOOKUP(G49,'Team Setup'!$B$5:$C$52,2,FALSE)</f>
        <v>Groupama Arena</v>
      </c>
      <c r="O49" s="9"/>
      <c r="P49" s="85"/>
      <c r="Q49" s="115"/>
      <c r="R49" s="113"/>
      <c r="S49" s="27"/>
      <c r="T49" s="27"/>
      <c r="U49" s="27"/>
      <c r="V49" s="27"/>
      <c r="W49" s="27"/>
      <c r="X49" s="27"/>
      <c r="Y49" s="27"/>
      <c r="Z49" s="116"/>
      <c r="AA49" s="116"/>
      <c r="AC49" s="82" t="str">
        <f t="shared" si="0"/>
        <v>2Ferencvárosi TC</v>
      </c>
      <c r="AD49" s="82" t="str">
        <f t="shared" si="1"/>
        <v>2PFC Ludogorets Razgrad</v>
      </c>
      <c r="DB49" s="83"/>
      <c r="DC49" s="100" t="s">
        <v>96</v>
      </c>
    </row>
    <row r="50" spans="2:107" s="81" customFormat="1" ht="15" customHeight="1">
      <c r="B50" s="84"/>
      <c r="C50" s="7"/>
      <c r="D50" s="169">
        <f t="shared" si="2"/>
        <v>2</v>
      </c>
      <c r="E50" s="169" t="s">
        <v>234</v>
      </c>
      <c r="F50" s="104">
        <v>43741</v>
      </c>
      <c r="G50" s="26" t="s">
        <v>382</v>
      </c>
      <c r="H50" s="6"/>
      <c r="I50" s="14" t="s">
        <v>392</v>
      </c>
      <c r="J50" s="14" t="s">
        <v>4</v>
      </c>
      <c r="K50" s="14" t="s">
        <v>392</v>
      </c>
      <c r="L50" s="6"/>
      <c r="M50" s="34" t="s">
        <v>362</v>
      </c>
      <c r="N50" s="34" t="str">
        <f>VLOOKUP(G50,'Team Setup'!$B$5:$C$52,2,FALSE)</f>
        <v>Stade Geoffroy-Guichard</v>
      </c>
      <c r="O50" s="9"/>
      <c r="P50" s="85"/>
      <c r="Q50" s="115"/>
      <c r="R50" s="113"/>
      <c r="S50" s="96" t="s">
        <v>166</v>
      </c>
      <c r="T50" s="97" t="s">
        <v>53</v>
      </c>
      <c r="U50" s="97" t="s">
        <v>7</v>
      </c>
      <c r="V50" s="97" t="s">
        <v>8</v>
      </c>
      <c r="W50" s="97" t="s">
        <v>9</v>
      </c>
      <c r="X50" s="97" t="s">
        <v>10</v>
      </c>
      <c r="Y50" s="98" t="s">
        <v>54</v>
      </c>
      <c r="Z50" s="116"/>
      <c r="AA50" s="116"/>
      <c r="AC50" s="82" t="str">
        <f t="shared" si="0"/>
        <v>2AS Saint-Étienne</v>
      </c>
      <c r="AD50" s="82" t="str">
        <f t="shared" si="1"/>
        <v>2VfL Wolfsburg</v>
      </c>
      <c r="DB50" s="83"/>
      <c r="DC50" s="100" t="s">
        <v>97</v>
      </c>
    </row>
    <row r="51" spans="2:107" s="81" customFormat="1" ht="15" customHeight="1">
      <c r="B51" s="84"/>
      <c r="C51" s="7"/>
      <c r="D51" s="169">
        <f t="shared" si="2"/>
        <v>2</v>
      </c>
      <c r="E51" s="169" t="s">
        <v>234</v>
      </c>
      <c r="F51" s="104">
        <v>43741</v>
      </c>
      <c r="G51" s="26" t="s">
        <v>383</v>
      </c>
      <c r="H51" s="6"/>
      <c r="I51" s="14" t="s">
        <v>392</v>
      </c>
      <c r="J51" s="14" t="s">
        <v>4</v>
      </c>
      <c r="K51" s="14" t="s">
        <v>392</v>
      </c>
      <c r="L51" s="6"/>
      <c r="M51" s="34" t="s">
        <v>361</v>
      </c>
      <c r="N51" s="34" t="str">
        <f>VLOOKUP(G51,'Team Setup'!$B$5:$C$52,2,FALSE)</f>
        <v>Arena Lviv</v>
      </c>
      <c r="O51" s="9"/>
      <c r="P51" s="85"/>
      <c r="Q51" s="115"/>
      <c r="R51" s="113"/>
      <c r="S51" s="101" t="str">
        <f>VLOOKUP(1,'Dummy Table'!$DG$28:$DH$31,2,FALSE)</f>
        <v>BSC Young Boys</v>
      </c>
      <c r="T51" s="102">
        <f>SUM(U51:W51)</f>
        <v>4</v>
      </c>
      <c r="U51" s="102">
        <f>SUMIF('Dummy Table'!B$28:B$31,'Group Stages'!S51,'Dummy Table'!Q$28:Q$31)</f>
        <v>2</v>
      </c>
      <c r="V51" s="102">
        <f>SUMIF('Dummy Table'!B$28:B$31,'Group Stages'!S51,'Dummy Table'!R$28:R$31)</f>
        <v>1</v>
      </c>
      <c r="W51" s="102">
        <f>SUMIF('Dummy Table'!B$28:B$31,'Group Stages'!S51,'Dummy Table'!S$28:S$31)</f>
        <v>1</v>
      </c>
      <c r="X51" s="102" t="str">
        <f>CONCATENATE(SUMIF('Dummy Table'!B$28:B$31,'Group Stages'!S51,'Dummy Table'!T$28:T$31)," - ",SUMIF('Dummy Table'!B$28:B$31,'Group Stages'!S51,'Dummy Table'!U$28:U$31))</f>
        <v>0 - 0</v>
      </c>
      <c r="Y51" s="103">
        <f>U51*3+V51*1</f>
        <v>7</v>
      </c>
      <c r="Z51" s="116"/>
      <c r="AA51" s="116"/>
      <c r="AC51" s="82" t="str">
        <f t="shared" si="0"/>
        <v>2FC Oleksandriya</v>
      </c>
      <c r="AD51" s="82" t="str">
        <f t="shared" si="1"/>
        <v>2KAA Gent</v>
      </c>
      <c r="DB51" s="83"/>
      <c r="DC51" s="100" t="s">
        <v>98</v>
      </c>
    </row>
    <row r="52" spans="2:107" s="81" customFormat="1" ht="15" customHeight="1">
      <c r="B52" s="84"/>
      <c r="C52" s="7"/>
      <c r="D52" s="169">
        <f t="shared" si="2"/>
        <v>2</v>
      </c>
      <c r="E52" s="169" t="s">
        <v>235</v>
      </c>
      <c r="F52" s="104">
        <v>43741</v>
      </c>
      <c r="G52" s="26" t="s">
        <v>384</v>
      </c>
      <c r="H52" s="6"/>
      <c r="I52" s="14" t="s">
        <v>392</v>
      </c>
      <c r="J52" s="14" t="s">
        <v>4</v>
      </c>
      <c r="K52" s="14" t="s">
        <v>392</v>
      </c>
      <c r="L52" s="6"/>
      <c r="M52" s="34" t="s">
        <v>363</v>
      </c>
      <c r="N52" s="34" t="str">
        <f>VLOOKUP(G52,'Team Setup'!$B$5:$C$52,2,FALSE)</f>
        <v>Liebenauer Stadium</v>
      </c>
      <c r="O52" s="9"/>
      <c r="P52" s="85"/>
      <c r="Q52" s="115"/>
      <c r="R52" s="113"/>
      <c r="S52" s="105" t="str">
        <f>VLOOKUP(2,'Dummy Table'!$DG$28:$DH$31,2,FALSE)</f>
        <v>Rangers FC</v>
      </c>
      <c r="T52" s="23">
        <f>SUM(U52:W52)</f>
        <v>4</v>
      </c>
      <c r="U52" s="23">
        <f>SUMIF('Dummy Table'!B$28:B$31,'Group Stages'!S52,'Dummy Table'!Q$28:Q$31)</f>
        <v>2</v>
      </c>
      <c r="V52" s="23">
        <f>SUMIF('Dummy Table'!B$28:B$31,'Group Stages'!S52,'Dummy Table'!R$28:R$31)</f>
        <v>1</v>
      </c>
      <c r="W52" s="23">
        <f>SUMIF('Dummy Table'!B$28:B$31,'Group Stages'!S52,'Dummy Table'!S$28:S$31)</f>
        <v>1</v>
      </c>
      <c r="X52" s="23" t="str">
        <f>CONCATENATE(SUMIF('Dummy Table'!B$28:B$31,'Group Stages'!S52,'Dummy Table'!T$28:T$31)," - ",SUMIF('Dummy Table'!B$28:B$31,'Group Stages'!S52,'Dummy Table'!U$28:U$31))</f>
        <v>0 - 0</v>
      </c>
      <c r="Y52" s="106">
        <f>U52*3+V52*1</f>
        <v>7</v>
      </c>
      <c r="Z52" s="116"/>
      <c r="AA52" s="116"/>
      <c r="AC52" s="82" t="str">
        <f t="shared" si="0"/>
        <v>2Wolfsberger AC</v>
      </c>
      <c r="AD52" s="82" t="str">
        <f t="shared" si="1"/>
        <v>2AS Roma</v>
      </c>
      <c r="DB52" s="83"/>
      <c r="DC52" s="100" t="s">
        <v>99</v>
      </c>
    </row>
    <row r="53" spans="2:107" s="81" customFormat="1" ht="15" customHeight="1">
      <c r="B53" s="84"/>
      <c r="C53" s="7"/>
      <c r="D53" s="169">
        <f t="shared" si="2"/>
        <v>2</v>
      </c>
      <c r="E53" s="169" t="s">
        <v>235</v>
      </c>
      <c r="F53" s="104">
        <v>43741</v>
      </c>
      <c r="G53" s="26" t="s">
        <v>385</v>
      </c>
      <c r="H53" s="6"/>
      <c r="I53" s="14" t="s">
        <v>392</v>
      </c>
      <c r="J53" s="14" t="s">
        <v>4</v>
      </c>
      <c r="K53" s="14" t="s">
        <v>392</v>
      </c>
      <c r="L53" s="6"/>
      <c r="M53" s="34" t="s">
        <v>364</v>
      </c>
      <c r="N53" s="34" t="str">
        <f>VLOOKUP(G53,'Team Setup'!$B$5:$C$52,2,FALSE)</f>
        <v>Başakşehir Fatih Terim Stadium</v>
      </c>
      <c r="O53" s="9"/>
      <c r="P53" s="85"/>
      <c r="Q53" s="115"/>
      <c r="R53" s="113"/>
      <c r="S53" s="105" t="str">
        <f>VLOOKUP(3,'Dummy Table'!$DG$28:$DH$31,2,FALSE)</f>
        <v>Feyenoord</v>
      </c>
      <c r="T53" s="23">
        <f>SUM(U53:W53)</f>
        <v>4</v>
      </c>
      <c r="U53" s="23">
        <f>SUMIF('Dummy Table'!B$28:B$31,'Group Stages'!S53,'Dummy Table'!Q$28:Q$31)</f>
        <v>1</v>
      </c>
      <c r="V53" s="23">
        <f>SUMIF('Dummy Table'!B$28:B$31,'Group Stages'!S53,'Dummy Table'!R$28:R$31)</f>
        <v>1</v>
      </c>
      <c r="W53" s="23">
        <f>SUMIF('Dummy Table'!B$28:B$31,'Group Stages'!S53,'Dummy Table'!S$28:S$31)</f>
        <v>2</v>
      </c>
      <c r="X53" s="23" t="str">
        <f>CONCATENATE(SUMIF('Dummy Table'!B$28:B$31,'Group Stages'!S53,'Dummy Table'!T$28:T$31)," - ",SUMIF('Dummy Table'!B$28:B$31,'Group Stages'!S53,'Dummy Table'!U$28:U$31))</f>
        <v>0 - 0</v>
      </c>
      <c r="Y53" s="106">
        <f>U53*3+V53*1</f>
        <v>4</v>
      </c>
      <c r="Z53" s="116"/>
      <c r="AA53" s="116"/>
      <c r="AC53" s="82" t="str">
        <f t="shared" si="0"/>
        <v>2İstanbul Başakşehir F.K.</v>
      </c>
      <c r="AD53" s="82" t="str">
        <f t="shared" si="1"/>
        <v>2Bor. Mönchengladbach</v>
      </c>
      <c r="DB53" s="83"/>
      <c r="DC53" s="100" t="s">
        <v>100</v>
      </c>
    </row>
    <row r="54" spans="2:107" s="81" customFormat="1" ht="15" customHeight="1">
      <c r="B54" s="84"/>
      <c r="C54" s="7"/>
      <c r="D54" s="169">
        <f t="shared" si="2"/>
        <v>2</v>
      </c>
      <c r="E54" s="169" t="s">
        <v>236</v>
      </c>
      <c r="F54" s="104">
        <v>43741</v>
      </c>
      <c r="G54" s="26" t="s">
        <v>386</v>
      </c>
      <c r="H54" s="6"/>
      <c r="I54" s="14" t="s">
        <v>391</v>
      </c>
      <c r="J54" s="14" t="s">
        <v>4</v>
      </c>
      <c r="K54" s="14" t="s">
        <v>392</v>
      </c>
      <c r="L54" s="6"/>
      <c r="M54" s="34" t="s">
        <v>366</v>
      </c>
      <c r="N54" s="34" t="str">
        <f>VLOOKUP(G54,'Team Setup'!$B$5:$C$52,2,FALSE)</f>
        <v>Vodafone Park</v>
      </c>
      <c r="O54" s="9"/>
      <c r="P54" s="85"/>
      <c r="Q54" s="115"/>
      <c r="R54" s="113"/>
      <c r="S54" s="108" t="str">
        <f>VLOOKUP(4,'Dummy Table'!$DG$28:$DH$31,2,FALSE)</f>
        <v>FC Porto</v>
      </c>
      <c r="T54" s="109">
        <f>SUM(U54:W54)</f>
        <v>4</v>
      </c>
      <c r="U54" s="109">
        <f>SUMIF('Dummy Table'!B$28:B$31,'Group Stages'!S54,'Dummy Table'!Q$28:Q$31)</f>
        <v>1</v>
      </c>
      <c r="V54" s="109">
        <f>SUMIF('Dummy Table'!B$28:B$31,'Group Stages'!S54,'Dummy Table'!R$28:R$31)</f>
        <v>1</v>
      </c>
      <c r="W54" s="109">
        <f>SUMIF('Dummy Table'!B$28:B$31,'Group Stages'!S54,'Dummy Table'!S$28:S$31)</f>
        <v>2</v>
      </c>
      <c r="X54" s="109" t="str">
        <f>CONCATENATE(SUMIF('Dummy Table'!B$28:B$31,'Group Stages'!S54,'Dummy Table'!T$28:T$31)," - ",SUMIF('Dummy Table'!B$28:B$31,'Group Stages'!S54,'Dummy Table'!U$28:U$31))</f>
        <v>0 - 0</v>
      </c>
      <c r="Y54" s="110">
        <f>U54*3+V54*1</f>
        <v>4</v>
      </c>
      <c r="Z54" s="116"/>
      <c r="AA54" s="116"/>
      <c r="AC54" s="82" t="str">
        <f t="shared" si="0"/>
        <v>2Beşiktaş</v>
      </c>
      <c r="AD54" s="82" t="str">
        <f t="shared" si="1"/>
        <v>2Wolverhampton Wanderers</v>
      </c>
      <c r="DB54" s="83"/>
      <c r="DC54" s="100" t="s">
        <v>101</v>
      </c>
    </row>
    <row r="55" spans="2:107" s="81" customFormat="1" ht="15" customHeight="1">
      <c r="B55" s="84"/>
      <c r="C55" s="7"/>
      <c r="D55" s="169">
        <f t="shared" si="2"/>
        <v>2</v>
      </c>
      <c r="E55" s="169" t="s">
        <v>236</v>
      </c>
      <c r="F55" s="104">
        <v>43741</v>
      </c>
      <c r="G55" s="26" t="s">
        <v>387</v>
      </c>
      <c r="H55" s="6"/>
      <c r="I55" s="14" t="s">
        <v>394</v>
      </c>
      <c r="J55" s="14" t="s">
        <v>4</v>
      </c>
      <c r="K55" s="14" t="s">
        <v>394</v>
      </c>
      <c r="L55" s="6"/>
      <c r="M55" s="34" t="s">
        <v>365</v>
      </c>
      <c r="N55" s="34" t="str">
        <f>VLOOKUP(G55,'Team Setup'!$B$5:$C$52,2,FALSE)</f>
        <v>Estadio Municipal</v>
      </c>
      <c r="O55" s="9"/>
      <c r="P55" s="85"/>
      <c r="Q55" s="115"/>
      <c r="R55" s="113"/>
      <c r="S55" s="27"/>
      <c r="T55" s="27"/>
      <c r="U55" s="27"/>
      <c r="V55" s="27"/>
      <c r="W55" s="27"/>
      <c r="X55" s="27"/>
      <c r="Y55" s="27"/>
      <c r="Z55" s="116"/>
      <c r="AA55" s="116"/>
      <c r="AC55" s="82" t="str">
        <f t="shared" si="0"/>
        <v>2Sporting Braga</v>
      </c>
      <c r="AD55" s="82" t="str">
        <f t="shared" si="1"/>
        <v>2Slovan Bratislava</v>
      </c>
      <c r="DB55" s="83"/>
      <c r="DC55" s="100" t="s">
        <v>102</v>
      </c>
    </row>
    <row r="56" spans="2:107" s="81" customFormat="1" ht="15" customHeight="1">
      <c r="B56" s="84"/>
      <c r="C56" s="7"/>
      <c r="D56" s="169">
        <f t="shared" si="2"/>
        <v>2</v>
      </c>
      <c r="E56" s="169" t="s">
        <v>9</v>
      </c>
      <c r="F56" s="104">
        <v>43741</v>
      </c>
      <c r="G56" s="26" t="s">
        <v>388</v>
      </c>
      <c r="H56" s="6"/>
      <c r="I56" s="14" t="s">
        <v>392</v>
      </c>
      <c r="J56" s="14" t="s">
        <v>4</v>
      </c>
      <c r="K56" s="14" t="s">
        <v>394</v>
      </c>
      <c r="L56" s="6"/>
      <c r="M56" s="34" t="s">
        <v>367</v>
      </c>
      <c r="N56" s="34" t="str">
        <f>VLOOKUP(G56,'Team Setup'!$B$5:$C$52,2,FALSE)</f>
        <v>Astana Arena</v>
      </c>
      <c r="O56" s="9"/>
      <c r="P56" s="85"/>
      <c r="Q56" s="115"/>
      <c r="R56" s="113"/>
      <c r="S56" s="27"/>
      <c r="T56" s="27"/>
      <c r="U56" s="27"/>
      <c r="V56" s="27"/>
      <c r="W56" s="27"/>
      <c r="X56" s="27"/>
      <c r="Y56" s="27"/>
      <c r="Z56" s="116"/>
      <c r="AA56" s="116"/>
      <c r="AC56" s="82" t="str">
        <f t="shared" si="0"/>
        <v>2FK Astana</v>
      </c>
      <c r="AD56" s="82" t="str">
        <f t="shared" si="1"/>
        <v>2Partizan</v>
      </c>
      <c r="DB56" s="83"/>
      <c r="DC56" s="100" t="s">
        <v>103</v>
      </c>
    </row>
    <row r="57" spans="2:107" s="81" customFormat="1" ht="15" customHeight="1">
      <c r="B57" s="84"/>
      <c r="C57" s="7"/>
      <c r="D57" s="169">
        <f t="shared" si="2"/>
        <v>2</v>
      </c>
      <c r="E57" s="169" t="s">
        <v>9</v>
      </c>
      <c r="F57" s="104">
        <v>43741</v>
      </c>
      <c r="G57" s="26" t="s">
        <v>389</v>
      </c>
      <c r="H57" s="6"/>
      <c r="I57" s="14" t="s">
        <v>391</v>
      </c>
      <c r="J57" s="14" t="s">
        <v>4</v>
      </c>
      <c r="K57" s="14" t="s">
        <v>391</v>
      </c>
      <c r="L57" s="6"/>
      <c r="M57" s="34" t="s">
        <v>368</v>
      </c>
      <c r="N57" s="34" t="str">
        <f>VLOOKUP(G57,'Team Setup'!$B$5:$C$52,2,FALSE)</f>
        <v>Cars Jeans Stadion</v>
      </c>
      <c r="O57" s="9"/>
      <c r="P57" s="85"/>
      <c r="Q57" s="115"/>
      <c r="R57" s="113"/>
      <c r="S57" s="96" t="s">
        <v>167</v>
      </c>
      <c r="T57" s="97" t="s">
        <v>53</v>
      </c>
      <c r="U57" s="97" t="s">
        <v>7</v>
      </c>
      <c r="V57" s="97" t="s">
        <v>8</v>
      </c>
      <c r="W57" s="97" t="s">
        <v>9</v>
      </c>
      <c r="X57" s="97" t="s">
        <v>10</v>
      </c>
      <c r="Y57" s="98" t="s">
        <v>54</v>
      </c>
      <c r="Z57" s="116"/>
      <c r="AA57" s="116"/>
      <c r="AC57" s="82" t="str">
        <f t="shared" si="0"/>
        <v>2AZ Alkmaar</v>
      </c>
      <c r="AD57" s="82" t="str">
        <f t="shared" si="1"/>
        <v>2Manchester United</v>
      </c>
      <c r="DB57" s="83"/>
      <c r="DC57" s="100" t="s">
        <v>104</v>
      </c>
    </row>
    <row r="58" spans="2:107" s="81" customFormat="1" ht="15" customHeight="1">
      <c r="B58" s="84"/>
      <c r="C58" s="7"/>
      <c r="D58" s="169">
        <f t="shared" si="2"/>
        <v>3</v>
      </c>
      <c r="E58" s="169" t="s">
        <v>15</v>
      </c>
      <c r="F58" s="104">
        <v>43762</v>
      </c>
      <c r="G58" s="26" t="s">
        <v>348</v>
      </c>
      <c r="H58" s="6"/>
      <c r="I58" s="14" t="s">
        <v>394</v>
      </c>
      <c r="J58" s="14" t="s">
        <v>4</v>
      </c>
      <c r="K58" s="14" t="s">
        <v>394</v>
      </c>
      <c r="L58" s="6"/>
      <c r="M58" s="34" t="s">
        <v>347</v>
      </c>
      <c r="N58" s="34" t="str">
        <f>VLOOKUP(G58,'Team Setup'!$B$5:$C$52,2,FALSE)</f>
        <v>Tofiq Bahramov Republican Stadium</v>
      </c>
      <c r="O58" s="9"/>
      <c r="P58" s="85"/>
      <c r="Q58" s="115"/>
      <c r="R58" s="113"/>
      <c r="S58" s="101" t="str">
        <f>VLOOKUP(1,'Dummy Table'!$DG$32:$DH$35,2,FALSE)</f>
        <v>Espanyol</v>
      </c>
      <c r="T58" s="102">
        <f>SUM(U58:W58)</f>
        <v>4</v>
      </c>
      <c r="U58" s="102">
        <f>SUMIF('Dummy Table'!B$32:B$35,'Group Stages'!S58,'Dummy Table'!Q$32:Q$35)</f>
        <v>3</v>
      </c>
      <c r="V58" s="102">
        <f>SUMIF('Dummy Table'!B$32:B$35,'Group Stages'!S58,'Dummy Table'!R$32:R$35)</f>
        <v>1</v>
      </c>
      <c r="W58" s="102">
        <f>SUMIF('Dummy Table'!B$32:B$35,'Group Stages'!S58,'Dummy Table'!S$32:S$35)</f>
        <v>0</v>
      </c>
      <c r="X58" s="102" t="str">
        <f>CONCATENATE(SUMIF('Dummy Table'!B$32:B$35,'Group Stages'!S58,'Dummy Table'!T$32:T$35)," - ",SUMIF('Dummy Table'!B$32:B$35,'Group Stages'!S58,'Dummy Table'!U$32:U$35))</f>
        <v>0 - 0</v>
      </c>
      <c r="Y58" s="103">
        <f>U58*3+V58*1</f>
        <v>10</v>
      </c>
      <c r="Z58" s="116"/>
      <c r="AA58" s="116"/>
      <c r="AC58" s="82" t="str">
        <f t="shared" si="0"/>
        <v>3Qarabağ FK</v>
      </c>
      <c r="AD58" s="82" t="str">
        <f t="shared" si="1"/>
        <v>3APOEL Nikosia</v>
      </c>
      <c r="DB58" s="83"/>
      <c r="DC58" s="100" t="s">
        <v>105</v>
      </c>
    </row>
    <row r="59" spans="2:107" s="81" customFormat="1" ht="15" customHeight="1">
      <c r="B59" s="84"/>
      <c r="C59" s="7"/>
      <c r="D59" s="169">
        <f t="shared" si="2"/>
        <v>3</v>
      </c>
      <c r="E59" s="169" t="s">
        <v>15</v>
      </c>
      <c r="F59" s="104">
        <v>43762</v>
      </c>
      <c r="G59" s="26" t="s">
        <v>369</v>
      </c>
      <c r="H59" s="6"/>
      <c r="I59" s="14" t="s">
        <v>390</v>
      </c>
      <c r="J59" s="14" t="s">
        <v>4</v>
      </c>
      <c r="K59" s="14" t="s">
        <v>391</v>
      </c>
      <c r="L59" s="6"/>
      <c r="M59" s="34" t="s">
        <v>332</v>
      </c>
      <c r="N59" s="34" t="str">
        <f>VLOOKUP(G59,'Team Setup'!$B$5:$C$52,2,FALSE)</f>
        <v>Ramón Sánchez Pizjuán</v>
      </c>
      <c r="O59" s="9"/>
      <c r="P59" s="85"/>
      <c r="Q59" s="115"/>
      <c r="R59" s="113"/>
      <c r="S59" s="105" t="str">
        <f>VLOOKUP(2,'Dummy Table'!$DG$32:$DH$35,2,FALSE)</f>
        <v>PFC Ludogorets Razgrad</v>
      </c>
      <c r="T59" s="23">
        <f>SUM(U59:W59)</f>
        <v>4</v>
      </c>
      <c r="U59" s="23">
        <f>SUMIF('Dummy Table'!B$32:B$35,'Group Stages'!S59,'Dummy Table'!Q$32:Q$35)</f>
        <v>2</v>
      </c>
      <c r="V59" s="23">
        <f>SUMIF('Dummy Table'!B$32:B$35,'Group Stages'!S59,'Dummy Table'!R$32:R$35)</f>
        <v>0</v>
      </c>
      <c r="W59" s="23">
        <f>SUMIF('Dummy Table'!B$32:B$35,'Group Stages'!S59,'Dummy Table'!S$32:S$35)</f>
        <v>2</v>
      </c>
      <c r="X59" s="23" t="str">
        <f>CONCATENATE(SUMIF('Dummy Table'!B$32:B$35,'Group Stages'!S59,'Dummy Table'!T$32:T$35)," - ",SUMIF('Dummy Table'!B$32:B$35,'Group Stages'!S59,'Dummy Table'!U$32:U$35))</f>
        <v>0 - 0</v>
      </c>
      <c r="Y59" s="106">
        <f>U59*3+V59*1</f>
        <v>6</v>
      </c>
      <c r="Z59" s="116"/>
      <c r="AA59" s="116"/>
      <c r="AC59" s="82" t="str">
        <f t="shared" si="0"/>
        <v>3Sevilla FC</v>
      </c>
      <c r="AD59" s="82" t="str">
        <f t="shared" si="1"/>
        <v>3F91 Dudelange</v>
      </c>
      <c r="DB59" s="83"/>
      <c r="DC59" s="100" t="s">
        <v>106</v>
      </c>
    </row>
    <row r="60" spans="2:107" s="81" customFormat="1" ht="15" customHeight="1">
      <c r="B60" s="84"/>
      <c r="C60" s="7"/>
      <c r="D60" s="169">
        <f t="shared" si="2"/>
        <v>3</v>
      </c>
      <c r="E60" s="169" t="s">
        <v>189</v>
      </c>
      <c r="F60" s="104">
        <v>43762</v>
      </c>
      <c r="G60" s="26" t="s">
        <v>349</v>
      </c>
      <c r="H60" s="6"/>
      <c r="I60" s="14" t="s">
        <v>392</v>
      </c>
      <c r="J60" s="14" t="s">
        <v>4</v>
      </c>
      <c r="K60" s="14" t="s">
        <v>392</v>
      </c>
      <c r="L60" s="6"/>
      <c r="M60" s="34" t="s">
        <v>350</v>
      </c>
      <c r="N60" s="34" t="str">
        <f>VLOOKUP(G60,'Team Setup'!$B$5:$C$52,2,FALSE)</f>
        <v>NSC Olimpiyskiy Stadium</v>
      </c>
      <c r="O60" s="9"/>
      <c r="P60" s="85"/>
      <c r="Q60" s="115"/>
      <c r="R60" s="113"/>
      <c r="S60" s="105" t="str">
        <f>VLOOKUP(3,'Dummy Table'!$DG$32:$DH$35,2,FALSE)</f>
        <v>Ferencvárosi TC</v>
      </c>
      <c r="T60" s="23">
        <f>SUM(U60:W60)</f>
        <v>4</v>
      </c>
      <c r="U60" s="23">
        <f>SUMIF('Dummy Table'!B$32:B$35,'Group Stages'!S60,'Dummy Table'!Q$32:Q$35)</f>
        <v>1</v>
      </c>
      <c r="V60" s="23">
        <f>SUMIF('Dummy Table'!B$32:B$35,'Group Stages'!S60,'Dummy Table'!R$32:R$35)</f>
        <v>2</v>
      </c>
      <c r="W60" s="23">
        <f>SUMIF('Dummy Table'!B$32:B$35,'Group Stages'!S60,'Dummy Table'!S$32:S$35)</f>
        <v>1</v>
      </c>
      <c r="X60" s="23" t="str">
        <f>CONCATENATE(SUMIF('Dummy Table'!B$32:B$35,'Group Stages'!S60,'Dummy Table'!T$32:T$35)," - ",SUMIF('Dummy Table'!B$32:B$35,'Group Stages'!S60,'Dummy Table'!U$32:U$35))</f>
        <v>0 - 0</v>
      </c>
      <c r="Y60" s="106">
        <f>U60*3+V60*1</f>
        <v>5</v>
      </c>
      <c r="Z60" s="116"/>
      <c r="AA60" s="116"/>
      <c r="AC60" s="82" t="str">
        <f t="shared" si="0"/>
        <v>3Dinamo Kiev</v>
      </c>
      <c r="AD60" s="82" t="str">
        <f t="shared" si="1"/>
        <v>3FC København</v>
      </c>
      <c r="DB60" s="83"/>
      <c r="DC60" s="100" t="s">
        <v>107</v>
      </c>
    </row>
    <row r="61" spans="2:107" s="81" customFormat="1" ht="15" customHeight="1">
      <c r="B61" s="84"/>
      <c r="C61" s="7"/>
      <c r="D61" s="169">
        <f t="shared" si="2"/>
        <v>3</v>
      </c>
      <c r="E61" s="169" t="s">
        <v>189</v>
      </c>
      <c r="F61" s="104">
        <v>43762</v>
      </c>
      <c r="G61" s="26" t="s">
        <v>371</v>
      </c>
      <c r="H61" s="6"/>
      <c r="I61" s="14" t="s">
        <v>394</v>
      </c>
      <c r="J61" s="14" t="s">
        <v>4</v>
      </c>
      <c r="K61" s="14" t="s">
        <v>392</v>
      </c>
      <c r="L61" s="6"/>
      <c r="M61" s="34" t="s">
        <v>370</v>
      </c>
      <c r="N61" s="34" t="str">
        <f>VLOOKUP(G61,'Team Setup'!$B$5:$C$52,2,FALSE)</f>
        <v>Malmo</v>
      </c>
      <c r="O61" s="9"/>
      <c r="P61" s="85"/>
      <c r="Q61" s="112"/>
      <c r="R61" s="113"/>
      <c r="S61" s="108" t="str">
        <f>VLOOKUP(4,'Dummy Table'!$DG$32:$DH$35,2,FALSE)</f>
        <v>CSKA Moskva</v>
      </c>
      <c r="T61" s="109">
        <f>SUM(U61:W61)</f>
        <v>4</v>
      </c>
      <c r="U61" s="109">
        <f>SUMIF('Dummy Table'!B$32:B$35,'Group Stages'!S61,'Dummy Table'!Q$32:Q$35)</f>
        <v>0</v>
      </c>
      <c r="V61" s="109">
        <f>SUMIF('Dummy Table'!B$32:B$35,'Group Stages'!S61,'Dummy Table'!R$32:R$35)</f>
        <v>1</v>
      </c>
      <c r="W61" s="109">
        <f>SUMIF('Dummy Table'!B$32:B$35,'Group Stages'!S61,'Dummy Table'!S$32:S$35)</f>
        <v>3</v>
      </c>
      <c r="X61" s="109" t="str">
        <f>CONCATENATE(SUMIF('Dummy Table'!B$32:B$35,'Group Stages'!S61,'Dummy Table'!T$32:T$35)," - ",SUMIF('Dummy Table'!B$32:B$35,'Group Stages'!S61,'Dummy Table'!U$32:U$35))</f>
        <v>0 - 0</v>
      </c>
      <c r="Y61" s="110">
        <f>U61*3+V61*1</f>
        <v>1</v>
      </c>
      <c r="Z61" s="114"/>
      <c r="AA61" s="114"/>
      <c r="AC61" s="82" t="str">
        <f t="shared" si="0"/>
        <v>3Malmö FF</v>
      </c>
      <c r="AD61" s="82" t="str">
        <f t="shared" si="1"/>
        <v>3FC Lugano</v>
      </c>
      <c r="DB61" s="83"/>
      <c r="DC61" s="100" t="s">
        <v>108</v>
      </c>
    </row>
    <row r="62" spans="2:107" s="81" customFormat="1" ht="15" customHeight="1">
      <c r="B62" s="84"/>
      <c r="C62" s="7"/>
      <c r="D62" s="169">
        <f t="shared" si="2"/>
        <v>3</v>
      </c>
      <c r="E62" s="169" t="s">
        <v>190</v>
      </c>
      <c r="F62" s="104">
        <v>43762</v>
      </c>
      <c r="G62" s="26" t="s">
        <v>352</v>
      </c>
      <c r="H62" s="6"/>
      <c r="I62" s="14" t="s">
        <v>391</v>
      </c>
      <c r="J62" s="14" t="s">
        <v>4</v>
      </c>
      <c r="K62" s="14" t="s">
        <v>392</v>
      </c>
      <c r="L62" s="6"/>
      <c r="M62" s="34" t="s">
        <v>351</v>
      </c>
      <c r="N62" s="34" t="str">
        <f>VLOOKUP(G62,'Team Setup'!$B$5:$C$52,2,FALSE)</f>
        <v>Coliseum Alfonso Perez</v>
      </c>
      <c r="O62" s="9"/>
      <c r="P62" s="85"/>
      <c r="Q62" s="115"/>
      <c r="R62" s="113"/>
      <c r="S62" s="27"/>
      <c r="T62" s="27"/>
      <c r="U62" s="27"/>
      <c r="V62" s="27"/>
      <c r="W62" s="27"/>
      <c r="X62" s="27"/>
      <c r="Y62" s="27"/>
      <c r="Z62" s="116"/>
      <c r="AA62" s="116"/>
      <c r="AC62" s="82" t="str">
        <f t="shared" si="0"/>
        <v>3Getafe CF</v>
      </c>
      <c r="AD62" s="82" t="str">
        <f t="shared" si="1"/>
        <v>3FC Basel</v>
      </c>
      <c r="DB62" s="83"/>
      <c r="DC62" s="100" t="s">
        <v>109</v>
      </c>
    </row>
    <row r="63" spans="2:107" s="81" customFormat="1" ht="15" customHeight="1">
      <c r="B63" s="84"/>
      <c r="C63" s="7"/>
      <c r="D63" s="169">
        <f t="shared" si="2"/>
        <v>3</v>
      </c>
      <c r="E63" s="169" t="s">
        <v>190</v>
      </c>
      <c r="F63" s="104">
        <v>43762</v>
      </c>
      <c r="G63" s="26" t="s">
        <v>372</v>
      </c>
      <c r="H63" s="6"/>
      <c r="I63" s="14" t="s">
        <v>391</v>
      </c>
      <c r="J63" s="14" t="s">
        <v>4</v>
      </c>
      <c r="K63" s="14" t="s">
        <v>394</v>
      </c>
      <c r="L63" s="6"/>
      <c r="M63" s="34" t="s">
        <v>373</v>
      </c>
      <c r="N63" s="34" t="str">
        <f>VLOOKUP(G63,'Team Setup'!$B$5:$C$52,2,FALSE)</f>
        <v>Şenol Güneş Stadium</v>
      </c>
      <c r="O63" s="9"/>
      <c r="P63" s="85"/>
      <c r="Q63" s="115"/>
      <c r="R63" s="113"/>
      <c r="S63" s="27"/>
      <c r="T63" s="27"/>
      <c r="U63" s="27"/>
      <c r="V63" s="27"/>
      <c r="W63" s="27"/>
      <c r="X63" s="27"/>
      <c r="Y63" s="27"/>
      <c r="Z63" s="116"/>
      <c r="AA63" s="116"/>
      <c r="AC63" s="82" t="str">
        <f t="shared" si="0"/>
        <v>3Trabzonspor</v>
      </c>
      <c r="AD63" s="82" t="str">
        <f t="shared" si="1"/>
        <v>3FK Krasnodar</v>
      </c>
      <c r="DB63" s="83"/>
      <c r="DC63" s="100" t="s">
        <v>110</v>
      </c>
    </row>
    <row r="64" spans="2:107" ht="15" customHeight="1">
      <c r="B64" s="120"/>
      <c r="C64" s="7"/>
      <c r="D64" s="169">
        <f t="shared" si="2"/>
        <v>3</v>
      </c>
      <c r="E64" s="169" t="s">
        <v>8</v>
      </c>
      <c r="F64" s="104">
        <v>43762</v>
      </c>
      <c r="G64" s="26" t="s">
        <v>354</v>
      </c>
      <c r="H64" s="6"/>
      <c r="I64" s="14" t="s">
        <v>391</v>
      </c>
      <c r="J64" s="14" t="s">
        <v>4</v>
      </c>
      <c r="K64" s="14" t="s">
        <v>391</v>
      </c>
      <c r="L64" s="6"/>
      <c r="M64" s="34" t="s">
        <v>353</v>
      </c>
      <c r="N64" s="34" t="str">
        <f>VLOOKUP(G64,'Team Setup'!$B$5:$C$52,2,FALSE)</f>
        <v>Philips Stadion</v>
      </c>
      <c r="O64" s="121"/>
      <c r="P64" s="122"/>
      <c r="Q64" s="123"/>
      <c r="R64" s="113"/>
      <c r="S64" s="96" t="s">
        <v>240</v>
      </c>
      <c r="T64" s="97" t="s">
        <v>53</v>
      </c>
      <c r="U64" s="97" t="s">
        <v>7</v>
      </c>
      <c r="V64" s="97" t="s">
        <v>8</v>
      </c>
      <c r="W64" s="97" t="s">
        <v>9</v>
      </c>
      <c r="X64" s="97" t="s">
        <v>10</v>
      </c>
      <c r="Y64" s="98" t="s">
        <v>54</v>
      </c>
      <c r="Z64" s="116"/>
      <c r="AA64" s="125"/>
      <c r="AC64" s="82" t="str">
        <f t="shared" si="0"/>
        <v>3PSV Eindhoven</v>
      </c>
      <c r="AD64" s="82" t="str">
        <f t="shared" si="1"/>
        <v>3LASK</v>
      </c>
    </row>
    <row r="65" spans="2:30" ht="15" customHeight="1">
      <c r="B65" s="120"/>
      <c r="C65" s="7"/>
      <c r="D65" s="169">
        <f t="shared" si="2"/>
        <v>3</v>
      </c>
      <c r="E65" s="169" t="s">
        <v>8</v>
      </c>
      <c r="F65" s="104">
        <v>43762</v>
      </c>
      <c r="G65" s="26" t="s">
        <v>331</v>
      </c>
      <c r="H65" s="6"/>
      <c r="I65" s="14" t="s">
        <v>392</v>
      </c>
      <c r="J65" s="14" t="s">
        <v>4</v>
      </c>
      <c r="K65" s="14" t="s">
        <v>391</v>
      </c>
      <c r="L65" s="6"/>
      <c r="M65" s="34" t="s">
        <v>374</v>
      </c>
      <c r="N65" s="34" t="str">
        <f>VLOOKUP(G65,'Team Setup'!$B$5:$C$52,2,FALSE)</f>
        <v>Estadio Jose Alvalade</v>
      </c>
      <c r="O65" s="121"/>
      <c r="P65" s="122"/>
      <c r="Q65" s="123"/>
      <c r="R65" s="113"/>
      <c r="S65" s="101" t="str">
        <f>VLOOKUP(1,'Dummy Table'!$DG$36:$DH$39,2,FALSE)</f>
        <v>KAA Gent</v>
      </c>
      <c r="T65" s="102">
        <f>SUM(U65:W65)</f>
        <v>4</v>
      </c>
      <c r="U65" s="102">
        <f>SUMIF('Dummy Table'!B$36:B$39,'Group Stages'!S65,'Dummy Table'!Q$36:Q$39)</f>
        <v>2</v>
      </c>
      <c r="V65" s="102">
        <f>SUMIF('Dummy Table'!B$36:B$39,'Group Stages'!S65,'Dummy Table'!R$36:R$39)</f>
        <v>2</v>
      </c>
      <c r="W65" s="102">
        <f>SUMIF('Dummy Table'!B$36:B$39,'Group Stages'!S65,'Dummy Table'!S$36:S$39)</f>
        <v>0</v>
      </c>
      <c r="X65" s="102" t="str">
        <f>CONCATENATE(SUMIF('Dummy Table'!B$36:B$39,'Group Stages'!S65,'Dummy Table'!T$36:T$39)," - ",SUMIF('Dummy Table'!B$36:B$39,'Group Stages'!S65,'Dummy Table'!U$36:U$39))</f>
        <v>0 - 0</v>
      </c>
      <c r="Y65" s="103">
        <f>U65*3+V65*1</f>
        <v>8</v>
      </c>
      <c r="Z65" s="116"/>
      <c r="AA65" s="125"/>
      <c r="AC65" s="82" t="str">
        <f t="shared" si="0"/>
        <v>3Sporting CP</v>
      </c>
      <c r="AD65" s="82" t="str">
        <f t="shared" si="1"/>
        <v>3Rosenborg BK</v>
      </c>
    </row>
    <row r="66" spans="2:30" ht="15" customHeight="1">
      <c r="B66" s="120"/>
      <c r="C66" s="7"/>
      <c r="D66" s="169">
        <f t="shared" si="2"/>
        <v>3</v>
      </c>
      <c r="E66" s="169" t="s">
        <v>191</v>
      </c>
      <c r="F66" s="104">
        <v>43762</v>
      </c>
      <c r="G66" s="26" t="s">
        <v>375</v>
      </c>
      <c r="H66" s="6"/>
      <c r="I66" s="14" t="s">
        <v>394</v>
      </c>
      <c r="J66" s="14" t="s">
        <v>4</v>
      </c>
      <c r="K66" s="14" t="s">
        <v>392</v>
      </c>
      <c r="L66" s="6"/>
      <c r="M66" s="34" t="s">
        <v>239</v>
      </c>
      <c r="N66" s="34" t="str">
        <f>VLOOKUP(G66,'Team Setup'!$B$5:$C$52,2,FALSE)</f>
        <v>Celtic Park</v>
      </c>
      <c r="O66" s="121"/>
      <c r="P66" s="122"/>
      <c r="Q66" s="123"/>
      <c r="R66" s="113"/>
      <c r="S66" s="105" t="str">
        <f>VLOOKUP(2,'Dummy Table'!$DG$36:$DH$39,2,FALSE)</f>
        <v>VfL Wolfsburg</v>
      </c>
      <c r="T66" s="23">
        <f>SUM(U66:W66)</f>
        <v>4</v>
      </c>
      <c r="U66" s="23">
        <f>SUMIF('Dummy Table'!B$36:B$39,'Group Stages'!S66,'Dummy Table'!Q$36:Q$39)</f>
        <v>1</v>
      </c>
      <c r="V66" s="23">
        <f>SUMIF('Dummy Table'!B$36:B$39,'Group Stages'!S66,'Dummy Table'!R$36:R$39)</f>
        <v>2</v>
      </c>
      <c r="W66" s="23">
        <f>SUMIF('Dummy Table'!B$36:B$39,'Group Stages'!S66,'Dummy Table'!S$36:S$39)</f>
        <v>1</v>
      </c>
      <c r="X66" s="23" t="str">
        <f>CONCATENATE(SUMIF('Dummy Table'!B$36:B$39,'Group Stages'!S66,'Dummy Table'!T$36:T$39)," - ",SUMIF('Dummy Table'!B$36:B$39,'Group Stages'!S66,'Dummy Table'!U$36:U$39))</f>
        <v>0 - 0</v>
      </c>
      <c r="Y66" s="106">
        <f>U66*3+V66*1</f>
        <v>5</v>
      </c>
      <c r="Z66" s="116"/>
      <c r="AA66" s="125"/>
      <c r="AC66" s="82" t="str">
        <f t="shared" si="0"/>
        <v>3Celtic FC</v>
      </c>
      <c r="AD66" s="82" t="str">
        <f t="shared" si="1"/>
        <v>3Lazio</v>
      </c>
    </row>
    <row r="67" spans="2:30" ht="15" customHeight="1">
      <c r="B67" s="120"/>
      <c r="C67" s="7"/>
      <c r="D67" s="169">
        <f t="shared" si="2"/>
        <v>3</v>
      </c>
      <c r="E67" s="169" t="s">
        <v>191</v>
      </c>
      <c r="F67" s="104">
        <v>43762</v>
      </c>
      <c r="G67" s="26" t="s">
        <v>355</v>
      </c>
      <c r="H67" s="6"/>
      <c r="I67" s="14" t="s">
        <v>391</v>
      </c>
      <c r="J67" s="14" t="s">
        <v>4</v>
      </c>
      <c r="K67" s="14" t="s">
        <v>392</v>
      </c>
      <c r="L67" s="6"/>
      <c r="M67" s="34" t="s">
        <v>356</v>
      </c>
      <c r="N67" s="34" t="str">
        <f>VLOOKUP(G67,'Team Setup'!$B$5:$C$52,2,FALSE)</f>
        <v>Roazhon Park</v>
      </c>
      <c r="O67" s="121"/>
      <c r="P67" s="122"/>
      <c r="Q67" s="123"/>
      <c r="R67" s="113"/>
      <c r="S67" s="105" t="str">
        <f>VLOOKUP(3,'Dummy Table'!$DG$36:$DH$39,2,FALSE)</f>
        <v>AS Saint-Étienne</v>
      </c>
      <c r="T67" s="23">
        <f>SUM(U67:W67)</f>
        <v>4</v>
      </c>
      <c r="U67" s="23">
        <f>SUMIF('Dummy Table'!B$36:B$39,'Group Stages'!S67,'Dummy Table'!Q$36:Q$39)</f>
        <v>0</v>
      </c>
      <c r="V67" s="23">
        <f>SUMIF('Dummy Table'!B$36:B$39,'Group Stages'!S67,'Dummy Table'!R$36:R$39)</f>
        <v>3</v>
      </c>
      <c r="W67" s="23">
        <f>SUMIF('Dummy Table'!B$36:B$39,'Group Stages'!S67,'Dummy Table'!S$36:S$39)</f>
        <v>1</v>
      </c>
      <c r="X67" s="23" t="str">
        <f>CONCATENATE(SUMIF('Dummy Table'!B$36:B$39,'Group Stages'!S67,'Dummy Table'!T$36:T$39)," - ",SUMIF('Dummy Table'!B$36:B$39,'Group Stages'!S67,'Dummy Table'!U$36:U$39))</f>
        <v>0 - 0</v>
      </c>
      <c r="Y67" s="106">
        <f>U67*3+V67*1</f>
        <v>3</v>
      </c>
      <c r="Z67" s="116"/>
      <c r="AA67" s="125"/>
      <c r="AC67" s="82" t="str">
        <f t="shared" si="0"/>
        <v>3Stade Rennes</v>
      </c>
      <c r="AD67" s="82" t="str">
        <f t="shared" si="1"/>
        <v>3CFR Cluj</v>
      </c>
    </row>
    <row r="68" spans="2:30" ht="15" customHeight="1">
      <c r="B68" s="120"/>
      <c r="C68" s="7"/>
      <c r="D68" s="169">
        <f t="shared" si="2"/>
        <v>3</v>
      </c>
      <c r="E68" s="169" t="s">
        <v>14</v>
      </c>
      <c r="F68" s="104">
        <v>43762</v>
      </c>
      <c r="G68" s="26" t="s">
        <v>376</v>
      </c>
      <c r="H68" s="6"/>
      <c r="I68" s="14" t="s">
        <v>390</v>
      </c>
      <c r="J68" s="14" t="s">
        <v>4</v>
      </c>
      <c r="K68" s="14" t="s">
        <v>394</v>
      </c>
      <c r="L68" s="6"/>
      <c r="M68" s="34" t="s">
        <v>377</v>
      </c>
      <c r="N68" s="34" t="str">
        <f>VLOOKUP(G68,'Team Setup'!$B$5:$C$52,2,FALSE)</f>
        <v>Emirates Stadium</v>
      </c>
      <c r="O68" s="121"/>
      <c r="P68" s="122"/>
      <c r="Q68" s="123"/>
      <c r="R68" s="113"/>
      <c r="S68" s="108" t="str">
        <f>VLOOKUP(4,'Dummy Table'!$DG$36:$DH$39,2,FALSE)</f>
        <v>FC Oleksandriya</v>
      </c>
      <c r="T68" s="109">
        <f>SUM(U68:W68)</f>
        <v>4</v>
      </c>
      <c r="U68" s="109">
        <f>SUMIF('Dummy Table'!B$36:B$39,'Group Stages'!S68,'Dummy Table'!Q$36:Q$39)</f>
        <v>0</v>
      </c>
      <c r="V68" s="109">
        <f>SUMIF('Dummy Table'!B$36:B$39,'Group Stages'!S68,'Dummy Table'!R$36:R$39)</f>
        <v>3</v>
      </c>
      <c r="W68" s="109">
        <f>SUMIF('Dummy Table'!B$36:B$39,'Group Stages'!S68,'Dummy Table'!S$36:S$39)</f>
        <v>1</v>
      </c>
      <c r="X68" s="109" t="str">
        <f>CONCATENATE(SUMIF('Dummy Table'!B$36:B$39,'Group Stages'!S68,'Dummy Table'!T$36:T$39)," - ",SUMIF('Dummy Table'!B$36:B$39,'Group Stages'!S68,'Dummy Table'!U$36:U$39))</f>
        <v>0 - 0</v>
      </c>
      <c r="Y68" s="110">
        <f>U68*3+V68*1</f>
        <v>3</v>
      </c>
      <c r="Z68" s="114"/>
      <c r="AA68" s="125"/>
      <c r="AC68" s="82" t="str">
        <f t="shared" si="0"/>
        <v>3Arsenal FC</v>
      </c>
      <c r="AD68" s="82" t="str">
        <f t="shared" si="1"/>
        <v>3Vitória Guimarães</v>
      </c>
    </row>
    <row r="69" spans="2:30" ht="15" customHeight="1">
      <c r="B69" s="120"/>
      <c r="C69" s="7"/>
      <c r="D69" s="169">
        <f t="shared" si="2"/>
        <v>3</v>
      </c>
      <c r="E69" s="169" t="s">
        <v>14</v>
      </c>
      <c r="F69" s="104">
        <v>43762</v>
      </c>
      <c r="G69" s="26" t="s">
        <v>333</v>
      </c>
      <c r="H69" s="6"/>
      <c r="I69" s="14" t="s">
        <v>394</v>
      </c>
      <c r="J69" s="14" t="s">
        <v>4</v>
      </c>
      <c r="K69" s="14" t="s">
        <v>392</v>
      </c>
      <c r="L69" s="6"/>
      <c r="M69" s="34" t="s">
        <v>357</v>
      </c>
      <c r="N69" s="34" t="str">
        <f>VLOOKUP(G69,'Team Setup'!$B$5:$C$52,2,FALSE)</f>
        <v>Waldstadion, Frankfurt am Main</v>
      </c>
      <c r="O69" s="121"/>
      <c r="P69" s="122"/>
      <c r="Q69" s="123"/>
      <c r="R69" s="113"/>
      <c r="S69" s="27"/>
      <c r="T69" s="27"/>
      <c r="U69" s="27"/>
      <c r="V69" s="27"/>
      <c r="W69" s="27"/>
      <c r="X69" s="27"/>
      <c r="Y69" s="27"/>
      <c r="Z69" s="116"/>
      <c r="AA69" s="125"/>
      <c r="AC69" s="82" t="str">
        <f t="shared" si="0"/>
        <v>3Eintracht Frankfurt</v>
      </c>
      <c r="AD69" s="82" t="str">
        <f t="shared" si="1"/>
        <v>3Standard Liège</v>
      </c>
    </row>
    <row r="70" spans="2:30" ht="15" customHeight="1">
      <c r="B70" s="120"/>
      <c r="C70" s="7"/>
      <c r="D70" s="169">
        <f t="shared" si="2"/>
        <v>3</v>
      </c>
      <c r="E70" s="169" t="s">
        <v>192</v>
      </c>
      <c r="F70" s="104">
        <v>43762</v>
      </c>
      <c r="G70" s="26" t="s">
        <v>378</v>
      </c>
      <c r="H70" s="6"/>
      <c r="I70" s="14" t="s">
        <v>394</v>
      </c>
      <c r="J70" s="14" t="s">
        <v>4</v>
      </c>
      <c r="K70" s="14" t="s">
        <v>391</v>
      </c>
      <c r="L70" s="6"/>
      <c r="M70" s="34" t="s">
        <v>379</v>
      </c>
      <c r="N70" s="34" t="str">
        <f>VLOOKUP(G70,'Team Setup'!$B$5:$C$52,2,FALSE)</f>
        <v>Stade de Suisse</v>
      </c>
      <c r="O70" s="121"/>
      <c r="P70" s="122"/>
      <c r="Q70" s="123"/>
      <c r="R70" s="113"/>
      <c r="S70" s="27"/>
      <c r="T70" s="27"/>
      <c r="U70" s="27"/>
      <c r="V70" s="27"/>
      <c r="W70" s="27"/>
      <c r="X70" s="27"/>
      <c r="Y70" s="27"/>
      <c r="Z70" s="116"/>
      <c r="AA70" s="125"/>
      <c r="AC70" s="82" t="str">
        <f t="shared" si="0"/>
        <v>3BSC Young Boys</v>
      </c>
      <c r="AD70" s="82" t="str">
        <f t="shared" si="1"/>
        <v>3Feyenoord</v>
      </c>
    </row>
    <row r="71" spans="2:30" ht="15" customHeight="1">
      <c r="B71" s="120"/>
      <c r="C71" s="7"/>
      <c r="D71" s="169">
        <f t="shared" si="2"/>
        <v>3</v>
      </c>
      <c r="E71" s="169" t="s">
        <v>192</v>
      </c>
      <c r="F71" s="104">
        <v>43762</v>
      </c>
      <c r="G71" s="26" t="s">
        <v>358</v>
      </c>
      <c r="H71" s="6"/>
      <c r="I71" s="14" t="s">
        <v>392</v>
      </c>
      <c r="J71" s="14" t="s">
        <v>4</v>
      </c>
      <c r="K71" s="14" t="s">
        <v>392</v>
      </c>
      <c r="L71" s="6"/>
      <c r="M71" s="34" t="s">
        <v>359</v>
      </c>
      <c r="N71" s="34" t="str">
        <f>VLOOKUP(G71,'Team Setup'!$B$5:$C$52,2,FALSE)</f>
        <v>Estádio do Dragão</v>
      </c>
      <c r="O71" s="121"/>
      <c r="P71" s="122"/>
      <c r="Q71" s="123"/>
      <c r="R71" s="113"/>
      <c r="S71" s="96" t="s">
        <v>241</v>
      </c>
      <c r="T71" s="97" t="s">
        <v>53</v>
      </c>
      <c r="U71" s="97" t="s">
        <v>7</v>
      </c>
      <c r="V71" s="97" t="s">
        <v>8</v>
      </c>
      <c r="W71" s="97" t="s">
        <v>9</v>
      </c>
      <c r="X71" s="97" t="s">
        <v>10</v>
      </c>
      <c r="Y71" s="98" t="s">
        <v>54</v>
      </c>
      <c r="Z71" s="116"/>
      <c r="AA71" s="125"/>
      <c r="AC71" s="82" t="str">
        <f t="shared" si="0"/>
        <v>3FC Porto</v>
      </c>
      <c r="AD71" s="82" t="str">
        <f t="shared" si="1"/>
        <v>3Rangers FC</v>
      </c>
    </row>
    <row r="72" spans="2:30" ht="15" customHeight="1">
      <c r="B72" s="120"/>
      <c r="C72" s="7"/>
      <c r="D72" s="169">
        <f t="shared" si="2"/>
        <v>3</v>
      </c>
      <c r="E72" s="169" t="s">
        <v>193</v>
      </c>
      <c r="F72" s="104">
        <v>43762</v>
      </c>
      <c r="G72" s="26" t="s">
        <v>380</v>
      </c>
      <c r="H72" s="6"/>
      <c r="I72" s="14" t="s">
        <v>391</v>
      </c>
      <c r="J72" s="14" t="s">
        <v>4</v>
      </c>
      <c r="K72" s="14" t="s">
        <v>392</v>
      </c>
      <c r="L72" s="6"/>
      <c r="M72" s="34" t="s">
        <v>381</v>
      </c>
      <c r="N72" s="34" t="str">
        <f>VLOOKUP(G72,'Team Setup'!$B$5:$C$52,2,FALSE)</f>
        <v>VEB Arena</v>
      </c>
      <c r="O72" s="121"/>
      <c r="P72" s="122"/>
      <c r="Q72" s="123"/>
      <c r="R72" s="113"/>
      <c r="S72" s="101" t="str">
        <f>VLOOKUP(1,'Dummy Table'!$DG$40:$DH$43,2,FALSE)</f>
        <v>İstanbul Başakşehir F.K.</v>
      </c>
      <c r="T72" s="102">
        <f>SUM(U72:W72)</f>
        <v>4</v>
      </c>
      <c r="U72" s="102">
        <f>SUMIF('Dummy Table'!B$40:B$43,'Group Stages'!S72,'Dummy Table'!Q$40:Q$43)</f>
        <v>2</v>
      </c>
      <c r="V72" s="102">
        <f>SUMIF('Dummy Table'!B$40:B$43,'Group Stages'!S72,'Dummy Table'!R$40:R$43)</f>
        <v>1</v>
      </c>
      <c r="W72" s="102">
        <f>SUMIF('Dummy Table'!B$40:B$43,'Group Stages'!S72,'Dummy Table'!S$40:S$43)</f>
        <v>1</v>
      </c>
      <c r="X72" s="102" t="str">
        <f>CONCATENATE(SUMIF('Dummy Table'!B$40:B$43,'Group Stages'!S72,'Dummy Table'!T$40:T$43)," - ",SUMIF('Dummy Table'!B$40:B$43,'Group Stages'!S72,'Dummy Table'!U$40:U$43))</f>
        <v>0 - 0</v>
      </c>
      <c r="Y72" s="103">
        <f>U72*3+V72*1</f>
        <v>7</v>
      </c>
      <c r="Z72" s="116"/>
      <c r="AA72" s="125"/>
      <c r="AC72" s="82" t="str">
        <f t="shared" si="0"/>
        <v>3CSKA Moskva</v>
      </c>
      <c r="AD72" s="82" t="str">
        <f t="shared" si="1"/>
        <v>3Ferencvárosi TC</v>
      </c>
    </row>
    <row r="73" spans="2:30" ht="15" customHeight="1">
      <c r="B73" s="120"/>
      <c r="C73" s="7"/>
      <c r="D73" s="169">
        <f t="shared" si="2"/>
        <v>3</v>
      </c>
      <c r="E73" s="169" t="s">
        <v>193</v>
      </c>
      <c r="F73" s="104">
        <v>43762</v>
      </c>
      <c r="G73" s="26" t="s">
        <v>360</v>
      </c>
      <c r="H73" s="6"/>
      <c r="I73" s="14" t="s">
        <v>391</v>
      </c>
      <c r="J73" s="14" t="s">
        <v>4</v>
      </c>
      <c r="K73" s="14" t="s">
        <v>392</v>
      </c>
      <c r="L73" s="6"/>
      <c r="M73" s="34" t="s">
        <v>436</v>
      </c>
      <c r="N73" s="34" t="str">
        <f>VLOOKUP(G73,'Team Setup'!$B$5:$C$52,2,FALSE)</f>
        <v>Ludogorets Arena</v>
      </c>
      <c r="O73" s="121"/>
      <c r="P73" s="122"/>
      <c r="Q73" s="123"/>
      <c r="R73" s="113"/>
      <c r="S73" s="105" t="str">
        <f>VLOOKUP(2,'Dummy Table'!$DG$40:$DH$43,2,FALSE)</f>
        <v>AS Roma</v>
      </c>
      <c r="T73" s="23">
        <f>SUM(U73:W73)</f>
        <v>4</v>
      </c>
      <c r="U73" s="23">
        <f>SUMIF('Dummy Table'!B$40:B$43,'Group Stages'!S73,'Dummy Table'!Q$40:Q$43)</f>
        <v>1</v>
      </c>
      <c r="V73" s="23">
        <f>SUMIF('Dummy Table'!B$40:B$43,'Group Stages'!S73,'Dummy Table'!R$40:R$43)</f>
        <v>2</v>
      </c>
      <c r="W73" s="23">
        <f>SUMIF('Dummy Table'!B$40:B$43,'Group Stages'!S73,'Dummy Table'!S$40:S$43)</f>
        <v>1</v>
      </c>
      <c r="X73" s="23" t="str">
        <f>CONCATENATE(SUMIF('Dummy Table'!B$40:B$43,'Group Stages'!S73,'Dummy Table'!T$40:T$43)," - ",SUMIF('Dummy Table'!B$40:B$43,'Group Stages'!S73,'Dummy Table'!U$40:U$43))</f>
        <v>0 - 0</v>
      </c>
      <c r="Y73" s="106">
        <f>U73*3+V73*1</f>
        <v>5</v>
      </c>
      <c r="Z73" s="116"/>
      <c r="AA73" s="125"/>
      <c r="AC73" s="82" t="str">
        <f t="shared" si="0"/>
        <v>3PFC Ludogorets Razgrad</v>
      </c>
      <c r="AD73" s="82" t="str">
        <f t="shared" si="1"/>
        <v>3Espanyol</v>
      </c>
    </row>
    <row r="74" spans="2:30" ht="15" customHeight="1">
      <c r="B74" s="120"/>
      <c r="C74" s="7"/>
      <c r="D74" s="169">
        <f t="shared" si="2"/>
        <v>3</v>
      </c>
      <c r="E74" s="169" t="s">
        <v>234</v>
      </c>
      <c r="F74" s="104">
        <v>43762</v>
      </c>
      <c r="G74" s="26" t="s">
        <v>382</v>
      </c>
      <c r="H74" s="6"/>
      <c r="I74" s="14" t="s">
        <v>392</v>
      </c>
      <c r="J74" s="14" t="s">
        <v>4</v>
      </c>
      <c r="K74" s="14" t="s">
        <v>392</v>
      </c>
      <c r="L74" s="6"/>
      <c r="M74" s="34" t="s">
        <v>383</v>
      </c>
      <c r="N74" s="34" t="str">
        <f>VLOOKUP(G74,'Team Setup'!$B$5:$C$52,2,FALSE)</f>
        <v>Stade Geoffroy-Guichard</v>
      </c>
      <c r="O74" s="121"/>
      <c r="P74" s="122"/>
      <c r="Q74" s="123"/>
      <c r="R74" s="113"/>
      <c r="S74" s="105" t="str">
        <f>VLOOKUP(3,'Dummy Table'!$DG$40:$DH$43,2,FALSE)</f>
        <v>Bor. Mönchengladbach</v>
      </c>
      <c r="T74" s="23">
        <f>SUM(U74:W74)</f>
        <v>4</v>
      </c>
      <c r="U74" s="23">
        <f>SUMIF('Dummy Table'!B$40:B$43,'Group Stages'!S74,'Dummy Table'!Q$40:Q$43)</f>
        <v>1</v>
      </c>
      <c r="V74" s="23">
        <f>SUMIF('Dummy Table'!B$40:B$43,'Group Stages'!S74,'Dummy Table'!R$40:R$43)</f>
        <v>2</v>
      </c>
      <c r="W74" s="23">
        <f>SUMIF('Dummy Table'!B$40:B$43,'Group Stages'!S74,'Dummy Table'!S$40:S$43)</f>
        <v>1</v>
      </c>
      <c r="X74" s="23" t="str">
        <f>CONCATENATE(SUMIF('Dummy Table'!B$40:B$43,'Group Stages'!S74,'Dummy Table'!T$40:T$43)," - ",SUMIF('Dummy Table'!B$40:B$43,'Group Stages'!S74,'Dummy Table'!U$40:U$43))</f>
        <v>0 - 0</v>
      </c>
      <c r="Y74" s="106">
        <f>U74*3+V74*1</f>
        <v>5</v>
      </c>
      <c r="Z74" s="116"/>
      <c r="AA74" s="125"/>
      <c r="AC74" s="82" t="str">
        <f t="shared" si="0"/>
        <v>3AS Saint-Étienne</v>
      </c>
      <c r="AD74" s="82" t="str">
        <f t="shared" si="1"/>
        <v>3FC Oleksandriya</v>
      </c>
    </row>
    <row r="75" spans="2:30" ht="15" customHeight="1">
      <c r="B75" s="120"/>
      <c r="C75" s="7"/>
      <c r="D75" s="169">
        <f t="shared" si="2"/>
        <v>3</v>
      </c>
      <c r="E75" s="169" t="s">
        <v>234</v>
      </c>
      <c r="F75" s="104">
        <v>43762</v>
      </c>
      <c r="G75" s="26" t="s">
        <v>361</v>
      </c>
      <c r="H75" s="6"/>
      <c r="I75" s="14" t="s">
        <v>394</v>
      </c>
      <c r="J75" s="14" t="s">
        <v>4</v>
      </c>
      <c r="K75" s="14" t="s">
        <v>394</v>
      </c>
      <c r="L75" s="6"/>
      <c r="M75" s="34" t="s">
        <v>362</v>
      </c>
      <c r="N75" s="34" t="str">
        <f>VLOOKUP(G75,'Team Setup'!$B$5:$C$52,2,FALSE)</f>
        <v>Ghelamco Arena</v>
      </c>
      <c r="O75" s="121"/>
      <c r="P75" s="122"/>
      <c r="Q75" s="123"/>
      <c r="R75" s="113"/>
      <c r="S75" s="108" t="str">
        <f>VLOOKUP(4,'Dummy Table'!$DG$40:$DH$43,2,FALSE)</f>
        <v>Wolfsberger AC</v>
      </c>
      <c r="T75" s="109">
        <f>SUM(U75:W75)</f>
        <v>4</v>
      </c>
      <c r="U75" s="109">
        <f>SUMIF('Dummy Table'!B$40:B$43,'Group Stages'!S75,'Dummy Table'!Q$40:Q$43)</f>
        <v>1</v>
      </c>
      <c r="V75" s="109">
        <f>SUMIF('Dummy Table'!B$40:B$43,'Group Stages'!S75,'Dummy Table'!R$40:R$43)</f>
        <v>1</v>
      </c>
      <c r="W75" s="109">
        <f>SUMIF('Dummy Table'!B$40:B$43,'Group Stages'!S75,'Dummy Table'!S$40:S$43)</f>
        <v>2</v>
      </c>
      <c r="X75" s="109" t="str">
        <f>CONCATENATE(SUMIF('Dummy Table'!B$40:B$43,'Group Stages'!S75,'Dummy Table'!T$40:T$43)," - ",SUMIF('Dummy Table'!B$40:B$43,'Group Stages'!S75,'Dummy Table'!U$40:U$43))</f>
        <v>0 - 0</v>
      </c>
      <c r="Y75" s="110">
        <f>U75*3+V75*1</f>
        <v>4</v>
      </c>
      <c r="Z75" s="114"/>
      <c r="AA75" s="125"/>
      <c r="AC75" s="82" t="str">
        <f t="shared" ref="AC75:AC105" si="3">D75&amp;G75</f>
        <v>3KAA Gent</v>
      </c>
      <c r="AD75" s="82" t="str">
        <f t="shared" ref="AD75:AD105" si="4">D75&amp;M75</f>
        <v>3VfL Wolfsburg</v>
      </c>
    </row>
    <row r="76" spans="2:30" ht="15" customHeight="1">
      <c r="B76" s="120"/>
      <c r="C76" s="7"/>
      <c r="D76" s="169">
        <f t="shared" si="2"/>
        <v>3</v>
      </c>
      <c r="E76" s="169" t="s">
        <v>235</v>
      </c>
      <c r="F76" s="104">
        <v>43762</v>
      </c>
      <c r="G76" s="26" t="s">
        <v>363</v>
      </c>
      <c r="H76" s="6"/>
      <c r="I76" s="14" t="s">
        <v>392</v>
      </c>
      <c r="J76" s="14" t="s">
        <v>4</v>
      </c>
      <c r="K76" s="14" t="s">
        <v>392</v>
      </c>
      <c r="L76" s="6"/>
      <c r="M76" s="34" t="s">
        <v>364</v>
      </c>
      <c r="N76" s="34" t="str">
        <f>VLOOKUP(G76,'Team Setup'!$B$5:$C$52,2,FALSE)</f>
        <v>Olimpico</v>
      </c>
      <c r="O76" s="121"/>
      <c r="P76" s="122"/>
      <c r="Q76" s="123"/>
      <c r="R76" s="113"/>
      <c r="S76" s="27"/>
      <c r="T76" s="27"/>
      <c r="U76" s="27"/>
      <c r="V76" s="27"/>
      <c r="W76" s="27"/>
      <c r="X76" s="27"/>
      <c r="Y76" s="27"/>
      <c r="Z76" s="116"/>
      <c r="AA76" s="125"/>
      <c r="AC76" s="82" t="str">
        <f t="shared" si="3"/>
        <v>3AS Roma</v>
      </c>
      <c r="AD76" s="82" t="str">
        <f t="shared" si="4"/>
        <v>3Bor. Mönchengladbach</v>
      </c>
    </row>
    <row r="77" spans="2:30" ht="15" customHeight="1">
      <c r="B77" s="120"/>
      <c r="C77" s="7"/>
      <c r="D77" s="169">
        <f t="shared" si="2"/>
        <v>3</v>
      </c>
      <c r="E77" s="169" t="s">
        <v>235</v>
      </c>
      <c r="F77" s="104">
        <v>43762</v>
      </c>
      <c r="G77" s="26" t="s">
        <v>385</v>
      </c>
      <c r="H77" s="6"/>
      <c r="I77" s="14" t="s">
        <v>392</v>
      </c>
      <c r="J77" s="14" t="s">
        <v>4</v>
      </c>
      <c r="K77" s="14" t="s">
        <v>391</v>
      </c>
      <c r="L77" s="6"/>
      <c r="M77" s="34" t="s">
        <v>384</v>
      </c>
      <c r="N77" s="34" t="str">
        <f>VLOOKUP(G77,'Team Setup'!$B$5:$C$52,2,FALSE)</f>
        <v>Başakşehir Fatih Terim Stadium</v>
      </c>
      <c r="O77" s="121"/>
      <c r="P77" s="122"/>
      <c r="Q77" s="123"/>
      <c r="R77" s="113"/>
      <c r="S77" s="27"/>
      <c r="T77" s="27"/>
      <c r="U77" s="27"/>
      <c r="V77" s="27"/>
      <c r="W77" s="27"/>
      <c r="X77" s="27"/>
      <c r="Y77" s="27"/>
      <c r="Z77" s="116"/>
      <c r="AA77" s="125"/>
      <c r="AC77" s="82" t="str">
        <f t="shared" si="3"/>
        <v>3İstanbul Başakşehir F.K.</v>
      </c>
      <c r="AD77" s="82" t="str">
        <f t="shared" si="4"/>
        <v>3Wolfsberger AC</v>
      </c>
    </row>
    <row r="78" spans="2:30" ht="15" customHeight="1">
      <c r="B78" s="120"/>
      <c r="C78" s="7"/>
      <c r="D78" s="169">
        <f t="shared" si="2"/>
        <v>3</v>
      </c>
      <c r="E78" s="169" t="s">
        <v>236</v>
      </c>
      <c r="F78" s="104">
        <v>43762</v>
      </c>
      <c r="G78" s="26" t="s">
        <v>386</v>
      </c>
      <c r="H78" s="6"/>
      <c r="I78" s="14" t="s">
        <v>392</v>
      </c>
      <c r="J78" s="14" t="s">
        <v>4</v>
      </c>
      <c r="K78" s="14" t="s">
        <v>394</v>
      </c>
      <c r="L78" s="6"/>
      <c r="M78" s="34" t="s">
        <v>387</v>
      </c>
      <c r="N78" s="34" t="str">
        <f>VLOOKUP(G78,'Team Setup'!$B$5:$C$52,2,FALSE)</f>
        <v>Vodafone Park</v>
      </c>
      <c r="O78" s="121"/>
      <c r="P78" s="122"/>
      <c r="Q78" s="123"/>
      <c r="R78" s="113"/>
      <c r="S78" s="96" t="s">
        <v>242</v>
      </c>
      <c r="T78" s="97" t="s">
        <v>53</v>
      </c>
      <c r="U78" s="97" t="s">
        <v>7</v>
      </c>
      <c r="V78" s="97" t="s">
        <v>8</v>
      </c>
      <c r="W78" s="97" t="s">
        <v>9</v>
      </c>
      <c r="X78" s="97" t="s">
        <v>10</v>
      </c>
      <c r="Y78" s="98" t="s">
        <v>54</v>
      </c>
      <c r="Z78" s="116"/>
      <c r="AA78" s="125"/>
      <c r="AC78" s="82" t="str">
        <f t="shared" si="3"/>
        <v>3Beşiktaş</v>
      </c>
      <c r="AD78" s="82" t="str">
        <f t="shared" si="4"/>
        <v>3Sporting Braga</v>
      </c>
    </row>
    <row r="79" spans="2:30" ht="15" customHeight="1">
      <c r="B79" s="120"/>
      <c r="C79" s="7"/>
      <c r="D79" s="169">
        <f t="shared" si="2"/>
        <v>3</v>
      </c>
      <c r="E79" s="169" t="s">
        <v>236</v>
      </c>
      <c r="F79" s="104">
        <v>43762</v>
      </c>
      <c r="G79" s="26" t="s">
        <v>365</v>
      </c>
      <c r="H79" s="6"/>
      <c r="I79" s="14" t="s">
        <v>392</v>
      </c>
      <c r="J79" s="14" t="s">
        <v>4</v>
      </c>
      <c r="K79" s="14" t="s">
        <v>394</v>
      </c>
      <c r="L79" s="6"/>
      <c r="M79" s="34" t="s">
        <v>366</v>
      </c>
      <c r="N79" s="34" t="str">
        <f>VLOOKUP(G79,'Team Setup'!$B$5:$C$52,2,FALSE)</f>
        <v>Tehelné pole</v>
      </c>
      <c r="O79" s="121"/>
      <c r="P79" s="122"/>
      <c r="Q79" s="123"/>
      <c r="R79" s="113"/>
      <c r="S79" s="101" t="str">
        <f>VLOOKUP(1,'Dummy Table'!$DG$44:$DH$47,2,FALSE)</f>
        <v>Sporting Braga</v>
      </c>
      <c r="T79" s="102">
        <f>SUM(U79:W79)</f>
        <v>4</v>
      </c>
      <c r="U79" s="102">
        <f>SUMIF('Dummy Table'!B$44:B$47,'Group Stages'!S79,'Dummy Table'!Q$44:Q$47)</f>
        <v>3</v>
      </c>
      <c r="V79" s="102">
        <f>SUMIF('Dummy Table'!B$44:B$47,'Group Stages'!S79,'Dummy Table'!R$44:R$47)</f>
        <v>1</v>
      </c>
      <c r="W79" s="102">
        <f>SUMIF('Dummy Table'!B$44:B$47,'Group Stages'!S79,'Dummy Table'!S$44:S$47)</f>
        <v>0</v>
      </c>
      <c r="X79" s="102" t="str">
        <f>CONCATENATE(SUMIF('Dummy Table'!B$44:B$47,'Group Stages'!S79,'Dummy Table'!T$44:T$47)," - ",SUMIF('Dummy Table'!B$44:B$47,'Group Stages'!S79,'Dummy Table'!U$44:U$47))</f>
        <v>0 - 0</v>
      </c>
      <c r="Y79" s="103">
        <f>U79*3+V79*1</f>
        <v>10</v>
      </c>
      <c r="Z79" s="116"/>
      <c r="AA79" s="125"/>
      <c r="AC79" s="82" t="str">
        <f t="shared" si="3"/>
        <v>3Slovan Bratislava</v>
      </c>
      <c r="AD79" s="82" t="str">
        <f t="shared" si="4"/>
        <v>3Wolverhampton Wanderers</v>
      </c>
    </row>
    <row r="80" spans="2:30" ht="15" customHeight="1">
      <c r="B80" s="120"/>
      <c r="C80" s="7"/>
      <c r="D80" s="169">
        <f t="shared" si="2"/>
        <v>3</v>
      </c>
      <c r="E80" s="169" t="s">
        <v>9</v>
      </c>
      <c r="F80" s="104">
        <v>43762</v>
      </c>
      <c r="G80" s="26" t="s">
        <v>389</v>
      </c>
      <c r="H80" s="6"/>
      <c r="I80" s="14" t="s">
        <v>396</v>
      </c>
      <c r="J80" s="14" t="s">
        <v>4</v>
      </c>
      <c r="K80" s="14" t="s">
        <v>391</v>
      </c>
      <c r="L80" s="6"/>
      <c r="M80" s="34" t="s">
        <v>388</v>
      </c>
      <c r="N80" s="34" t="str">
        <f>VLOOKUP(G80,'Team Setup'!$B$5:$C$52,2,FALSE)</f>
        <v>Cars Jeans Stadion</v>
      </c>
      <c r="O80" s="121"/>
      <c r="P80" s="122"/>
      <c r="Q80" s="123"/>
      <c r="R80" s="113"/>
      <c r="S80" s="105" t="str">
        <f>VLOOKUP(2,'Dummy Table'!$DG$44:$DH$47,2,FALSE)</f>
        <v>Wolverhampton Wanderers</v>
      </c>
      <c r="T80" s="23">
        <f>SUM(U80:W80)</f>
        <v>4</v>
      </c>
      <c r="U80" s="23">
        <f>SUMIF('Dummy Table'!B$44:B$47,'Group Stages'!S80,'Dummy Table'!Q$44:Q$47)</f>
        <v>3</v>
      </c>
      <c r="V80" s="23">
        <f>SUMIF('Dummy Table'!B$44:B$47,'Group Stages'!S80,'Dummy Table'!R$44:R$47)</f>
        <v>0</v>
      </c>
      <c r="W80" s="23">
        <f>SUMIF('Dummy Table'!B$44:B$47,'Group Stages'!S80,'Dummy Table'!S$44:S$47)</f>
        <v>1</v>
      </c>
      <c r="X80" s="23" t="str">
        <f>CONCATENATE(SUMIF('Dummy Table'!B$44:B$47,'Group Stages'!S80,'Dummy Table'!T$44:T$47)," - ",SUMIF('Dummy Table'!B$44:B$47,'Group Stages'!S80,'Dummy Table'!U$44:U$47))</f>
        <v>0 - 0</v>
      </c>
      <c r="Y80" s="106">
        <f>U80*3+V80*1</f>
        <v>9</v>
      </c>
      <c r="Z80" s="116"/>
      <c r="AA80" s="125"/>
      <c r="AC80" s="82" t="str">
        <f t="shared" si="3"/>
        <v>3AZ Alkmaar</v>
      </c>
      <c r="AD80" s="82" t="str">
        <f t="shared" si="4"/>
        <v>3FK Astana</v>
      </c>
    </row>
    <row r="81" spans="2:30" ht="15" customHeight="1">
      <c r="B81" s="120"/>
      <c r="C81" s="7"/>
      <c r="D81" s="169">
        <f t="shared" si="2"/>
        <v>3</v>
      </c>
      <c r="E81" s="169" t="s">
        <v>9</v>
      </c>
      <c r="F81" s="104">
        <v>43762</v>
      </c>
      <c r="G81" s="26" t="s">
        <v>367</v>
      </c>
      <c r="H81" s="6"/>
      <c r="I81" s="14" t="s">
        <v>391</v>
      </c>
      <c r="J81" s="14" t="s">
        <v>4</v>
      </c>
      <c r="K81" s="14" t="s">
        <v>392</v>
      </c>
      <c r="L81" s="6"/>
      <c r="M81" s="34" t="s">
        <v>368</v>
      </c>
      <c r="N81" s="34" t="str">
        <f>VLOOKUP(G81,'Team Setup'!$B$5:$C$52,2,FALSE)</f>
        <v>Partizan Stadium</v>
      </c>
      <c r="O81" s="121"/>
      <c r="P81" s="122"/>
      <c r="Q81" s="123"/>
      <c r="R81" s="113"/>
      <c r="S81" s="105" t="str">
        <f>VLOOKUP(3,'Dummy Table'!$DG$44:$DH$47,2,FALSE)</f>
        <v>Slovan Bratislava</v>
      </c>
      <c r="T81" s="23">
        <f>SUM(U81:W81)</f>
        <v>4</v>
      </c>
      <c r="U81" s="23">
        <f>SUMIF('Dummy Table'!B$44:B$47,'Group Stages'!S81,'Dummy Table'!Q$44:Q$47)</f>
        <v>1</v>
      </c>
      <c r="V81" s="23">
        <f>SUMIF('Dummy Table'!B$44:B$47,'Group Stages'!S81,'Dummy Table'!R$44:R$47)</f>
        <v>1</v>
      </c>
      <c r="W81" s="23">
        <f>SUMIF('Dummy Table'!B$44:B$47,'Group Stages'!S81,'Dummy Table'!S$44:S$47)</f>
        <v>2</v>
      </c>
      <c r="X81" s="23" t="str">
        <f>CONCATENATE(SUMIF('Dummy Table'!B$44:B$47,'Group Stages'!S81,'Dummy Table'!T$44:T$47)," - ",SUMIF('Dummy Table'!B$44:B$47,'Group Stages'!S81,'Dummy Table'!U$44:U$47))</f>
        <v>0 - 0</v>
      </c>
      <c r="Y81" s="106">
        <f>U81*3+V81*1</f>
        <v>4</v>
      </c>
      <c r="Z81" s="116"/>
      <c r="AA81" s="125"/>
      <c r="AC81" s="82" t="str">
        <f t="shared" si="3"/>
        <v>3Partizan</v>
      </c>
      <c r="AD81" s="82" t="str">
        <f t="shared" si="4"/>
        <v>3Manchester United</v>
      </c>
    </row>
    <row r="82" spans="2:30" ht="15" customHeight="1">
      <c r="B82" s="120"/>
      <c r="C82" s="7"/>
      <c r="D82" s="169">
        <f t="shared" si="2"/>
        <v>4</v>
      </c>
      <c r="E82" s="169" t="s">
        <v>14</v>
      </c>
      <c r="F82" s="104">
        <v>43775</v>
      </c>
      <c r="G82" s="26" t="s">
        <v>377</v>
      </c>
      <c r="H82" s="6"/>
      <c r="I82" s="14" t="s">
        <v>392</v>
      </c>
      <c r="J82" s="14" t="s">
        <v>4</v>
      </c>
      <c r="K82" s="14" t="s">
        <v>392</v>
      </c>
      <c r="L82" s="6"/>
      <c r="M82" s="34" t="s">
        <v>376</v>
      </c>
      <c r="N82" s="34" t="str">
        <f>VLOOKUP(G82,'Team Setup'!$B$5:$C$52,2,FALSE)</f>
        <v>Estádio D. Afonso Henriques</v>
      </c>
      <c r="O82" s="121"/>
      <c r="P82" s="122"/>
      <c r="Q82" s="123"/>
      <c r="R82" s="113"/>
      <c r="S82" s="108" t="str">
        <f>VLOOKUP(4,'Dummy Table'!$DG$44:$DH$47,2,FALSE)</f>
        <v>Beşiktaş</v>
      </c>
      <c r="T82" s="109">
        <f>SUM(U82:W82)</f>
        <v>4</v>
      </c>
      <c r="U82" s="109">
        <f>SUMIF('Dummy Table'!B$44:B$47,'Group Stages'!S82,'Dummy Table'!Q$44:Q$47)</f>
        <v>0</v>
      </c>
      <c r="V82" s="109">
        <f>SUMIF('Dummy Table'!B$44:B$47,'Group Stages'!S82,'Dummy Table'!R$44:R$47)</f>
        <v>0</v>
      </c>
      <c r="W82" s="109">
        <f>SUMIF('Dummy Table'!B$44:B$47,'Group Stages'!S82,'Dummy Table'!S$44:S$47)</f>
        <v>4</v>
      </c>
      <c r="X82" s="109" t="str">
        <f>CONCATENATE(SUMIF('Dummy Table'!B$44:B$47,'Group Stages'!S82,'Dummy Table'!T$44:T$47)," - ",SUMIF('Dummy Table'!B$44:B$47,'Group Stages'!S82,'Dummy Table'!U$44:U$47))</f>
        <v>0 - 0</v>
      </c>
      <c r="Y82" s="110">
        <f>U82*3+V82*1</f>
        <v>0</v>
      </c>
      <c r="Z82" s="114"/>
      <c r="AA82" s="125"/>
      <c r="AC82" s="82" t="str">
        <f t="shared" si="3"/>
        <v>4Vitória Guimarães</v>
      </c>
      <c r="AD82" s="82" t="str">
        <f t="shared" si="4"/>
        <v>4Arsenal FC</v>
      </c>
    </row>
    <row r="83" spans="2:30" ht="15" customHeight="1">
      <c r="B83" s="120"/>
      <c r="C83" s="7"/>
      <c r="D83" s="169">
        <f t="shared" si="2"/>
        <v>4</v>
      </c>
      <c r="E83" s="169" t="s">
        <v>14</v>
      </c>
      <c r="F83" s="104">
        <v>43775</v>
      </c>
      <c r="G83" s="26" t="s">
        <v>357</v>
      </c>
      <c r="H83" s="6"/>
      <c r="I83" s="14" t="s">
        <v>394</v>
      </c>
      <c r="J83" s="14" t="s">
        <v>4</v>
      </c>
      <c r="K83" s="14" t="s">
        <v>392</v>
      </c>
      <c r="L83" s="6"/>
      <c r="M83" s="34" t="s">
        <v>333</v>
      </c>
      <c r="N83" s="34" t="str">
        <f>VLOOKUP(G83,'Team Setup'!$B$5:$C$52,2,FALSE)</f>
        <v>Stade Maurice Dufrasne</v>
      </c>
      <c r="O83" s="121"/>
      <c r="P83" s="122"/>
      <c r="Q83" s="123"/>
      <c r="R83" s="113"/>
      <c r="S83" s="27"/>
      <c r="T83" s="27"/>
      <c r="U83" s="27"/>
      <c r="V83" s="27"/>
      <c r="W83" s="27"/>
      <c r="X83" s="27"/>
      <c r="Y83" s="27"/>
      <c r="Z83" s="116"/>
      <c r="AA83" s="125"/>
      <c r="AC83" s="82" t="str">
        <f t="shared" si="3"/>
        <v>4Standard Liège</v>
      </c>
      <c r="AD83" s="82" t="str">
        <f t="shared" si="4"/>
        <v>4Eintracht Frankfurt</v>
      </c>
    </row>
    <row r="84" spans="2:30" ht="15" customHeight="1">
      <c r="B84" s="120"/>
      <c r="C84" s="7"/>
      <c r="D84" s="169">
        <f t="shared" si="2"/>
        <v>4</v>
      </c>
      <c r="E84" s="169" t="s">
        <v>15</v>
      </c>
      <c r="F84" s="104">
        <v>43776</v>
      </c>
      <c r="G84" s="26" t="s">
        <v>347</v>
      </c>
      <c r="H84" s="6"/>
      <c r="I84" s="14" t="s">
        <v>394</v>
      </c>
      <c r="J84" s="14" t="s">
        <v>4</v>
      </c>
      <c r="K84" s="14" t="s">
        <v>392</v>
      </c>
      <c r="L84" s="6"/>
      <c r="M84" s="34" t="s">
        <v>348</v>
      </c>
      <c r="N84" s="34" t="str">
        <f>VLOOKUP(G84,'Team Setup'!$B$5:$C$52,2,FALSE)</f>
        <v>Stadion GSP</v>
      </c>
      <c r="O84" s="121"/>
      <c r="P84" s="122"/>
      <c r="Q84" s="123"/>
      <c r="R84" s="113"/>
      <c r="S84" s="27"/>
      <c r="T84" s="27"/>
      <c r="U84" s="27"/>
      <c r="V84" s="27"/>
      <c r="W84" s="27"/>
      <c r="X84" s="27"/>
      <c r="Y84" s="27"/>
      <c r="Z84" s="116"/>
      <c r="AA84" s="125"/>
      <c r="AC84" s="82" t="str">
        <f t="shared" si="3"/>
        <v>4APOEL Nikosia</v>
      </c>
      <c r="AD84" s="82" t="str">
        <f t="shared" si="4"/>
        <v>4Qarabağ FK</v>
      </c>
    </row>
    <row r="85" spans="2:30" ht="15" customHeight="1">
      <c r="B85" s="120"/>
      <c r="C85" s="7"/>
      <c r="D85" s="169">
        <f t="shared" si="2"/>
        <v>4</v>
      </c>
      <c r="E85" s="169" t="s">
        <v>15</v>
      </c>
      <c r="F85" s="104">
        <v>43776</v>
      </c>
      <c r="G85" s="26" t="s">
        <v>332</v>
      </c>
      <c r="H85" s="6"/>
      <c r="I85" s="14" t="s">
        <v>394</v>
      </c>
      <c r="J85" s="14" t="s">
        <v>4</v>
      </c>
      <c r="K85" s="14" t="s">
        <v>393</v>
      </c>
      <c r="L85" s="6"/>
      <c r="M85" s="34" t="s">
        <v>369</v>
      </c>
      <c r="N85" s="34" t="str">
        <f>VLOOKUP(G85,'Team Setup'!$B$5:$C$52,2,FALSE)</f>
        <v>Stade Josy Barthel</v>
      </c>
      <c r="O85" s="121"/>
      <c r="P85" s="122"/>
      <c r="Q85" s="123"/>
      <c r="R85" s="113"/>
      <c r="S85" s="96" t="s">
        <v>243</v>
      </c>
      <c r="T85" s="97" t="s">
        <v>53</v>
      </c>
      <c r="U85" s="97" t="s">
        <v>7</v>
      </c>
      <c r="V85" s="97" t="s">
        <v>8</v>
      </c>
      <c r="W85" s="97" t="s">
        <v>9</v>
      </c>
      <c r="X85" s="97" t="s">
        <v>10</v>
      </c>
      <c r="Y85" s="98" t="s">
        <v>54</v>
      </c>
      <c r="Z85" s="116"/>
      <c r="AA85" s="125"/>
      <c r="AC85" s="82" t="str">
        <f t="shared" si="3"/>
        <v>4F91 Dudelange</v>
      </c>
      <c r="AD85" s="82" t="str">
        <f t="shared" si="4"/>
        <v>4Sevilla FC</v>
      </c>
    </row>
    <row r="86" spans="2:30" ht="15" customHeight="1">
      <c r="B86" s="120"/>
      <c r="C86" s="7"/>
      <c r="D86" s="169">
        <f t="shared" si="2"/>
        <v>4</v>
      </c>
      <c r="E86" s="169" t="s">
        <v>189</v>
      </c>
      <c r="F86" s="104">
        <v>43776</v>
      </c>
      <c r="G86" s="26" t="s">
        <v>350</v>
      </c>
      <c r="H86" s="6"/>
      <c r="I86" s="14" t="s">
        <v>392</v>
      </c>
      <c r="J86" s="14" t="s">
        <v>4</v>
      </c>
      <c r="K86" s="14" t="s">
        <v>392</v>
      </c>
      <c r="L86" s="6"/>
      <c r="M86" s="34" t="s">
        <v>349</v>
      </c>
      <c r="N86" s="34" t="str">
        <f>VLOOKUP(G86,'Team Setup'!$B$5:$C$52,2,FALSE)</f>
        <v>Parken Stadium</v>
      </c>
      <c r="O86" s="121"/>
      <c r="P86" s="122"/>
      <c r="Q86" s="123"/>
      <c r="R86" s="113"/>
      <c r="S86" s="101" t="str">
        <f>VLOOKUP(1,'Dummy Table'!$DG$48:$DH$51,2,FALSE)</f>
        <v>Manchester United</v>
      </c>
      <c r="T86" s="102">
        <f>SUM(U86:W86)</f>
        <v>4</v>
      </c>
      <c r="U86" s="102">
        <f>SUMIF('Dummy Table'!B$48:B$51,'Group Stages'!S86,'Dummy Table'!Q$48:Q$51)</f>
        <v>3</v>
      </c>
      <c r="V86" s="102">
        <f>SUMIF('Dummy Table'!B$48:B$51,'Group Stages'!S86,'Dummy Table'!R$48:R$51)</f>
        <v>1</v>
      </c>
      <c r="W86" s="102">
        <f>SUMIF('Dummy Table'!B$48:B$51,'Group Stages'!S86,'Dummy Table'!S$48:S$51)</f>
        <v>0</v>
      </c>
      <c r="X86" s="102" t="str">
        <f>CONCATENATE(SUMIF('Dummy Table'!B$48:B$51,'Group Stages'!S86,'Dummy Table'!T$48:T$51)," - ",SUMIF('Dummy Table'!B$48:B$51,'Group Stages'!S86,'Dummy Table'!U$48:U$51))</f>
        <v>0 - 0</v>
      </c>
      <c r="Y86" s="103">
        <f>U86*3+V86*1</f>
        <v>10</v>
      </c>
      <c r="Z86" s="116"/>
      <c r="AA86" s="125"/>
      <c r="AC86" s="82" t="str">
        <f t="shared" si="3"/>
        <v>4FC København</v>
      </c>
      <c r="AD86" s="82" t="str">
        <f t="shared" si="4"/>
        <v>4Dinamo Kiev</v>
      </c>
    </row>
    <row r="87" spans="2:30" ht="15" customHeight="1">
      <c r="B87" s="120"/>
      <c r="C87" s="7"/>
      <c r="D87" s="169">
        <f t="shared" si="2"/>
        <v>4</v>
      </c>
      <c r="E87" s="169" t="s">
        <v>189</v>
      </c>
      <c r="F87" s="104">
        <v>43776</v>
      </c>
      <c r="G87" s="26" t="s">
        <v>370</v>
      </c>
      <c r="H87" s="6"/>
      <c r="I87" s="14" t="s">
        <v>391</v>
      </c>
      <c r="J87" s="14" t="s">
        <v>4</v>
      </c>
      <c r="K87" s="14" t="s">
        <v>391</v>
      </c>
      <c r="L87" s="6"/>
      <c r="M87" s="34" t="s">
        <v>371</v>
      </c>
      <c r="N87" s="34" t="str">
        <f>VLOOKUP(G87,'Team Setup'!$B$5:$C$52,2,FALSE)</f>
        <v>Kybunpark, St Gallen</v>
      </c>
      <c r="O87" s="121"/>
      <c r="P87" s="122"/>
      <c r="Q87" s="123"/>
      <c r="R87" s="113"/>
      <c r="S87" s="105" t="str">
        <f>VLOOKUP(2,'Dummy Table'!$DG$48:$DH$51,2,FALSE)</f>
        <v>AZ Alkmaar</v>
      </c>
      <c r="T87" s="23">
        <f>SUM(U87:W87)</f>
        <v>4</v>
      </c>
      <c r="U87" s="23">
        <f>SUMIF('Dummy Table'!B$48:B$51,'Group Stages'!S87,'Dummy Table'!Q$48:Q$51)</f>
        <v>2</v>
      </c>
      <c r="V87" s="23">
        <f>SUMIF('Dummy Table'!B$48:B$51,'Group Stages'!S87,'Dummy Table'!R$48:R$51)</f>
        <v>2</v>
      </c>
      <c r="W87" s="23">
        <f>SUMIF('Dummy Table'!B$48:B$51,'Group Stages'!S87,'Dummy Table'!S$48:S$51)</f>
        <v>0</v>
      </c>
      <c r="X87" s="23" t="str">
        <f>CONCATENATE(SUMIF('Dummy Table'!B$48:B$51,'Group Stages'!S87,'Dummy Table'!T$48:T$51)," - ",SUMIF('Dummy Table'!B$48:B$51,'Group Stages'!S87,'Dummy Table'!U$48:U$51))</f>
        <v>0 - 0</v>
      </c>
      <c r="Y87" s="106">
        <f>U87*3+V87*1</f>
        <v>8</v>
      </c>
      <c r="Z87" s="116"/>
      <c r="AA87" s="125"/>
      <c r="AC87" s="82" t="str">
        <f t="shared" si="3"/>
        <v>4FC Lugano</v>
      </c>
      <c r="AD87" s="82" t="str">
        <f t="shared" si="4"/>
        <v>4Malmö FF</v>
      </c>
    </row>
    <row r="88" spans="2:30" ht="15" customHeight="1">
      <c r="B88" s="120"/>
      <c r="C88" s="7"/>
      <c r="D88" s="169">
        <f t="shared" si="2"/>
        <v>4</v>
      </c>
      <c r="E88" s="169" t="s">
        <v>190</v>
      </c>
      <c r="F88" s="104">
        <v>43776</v>
      </c>
      <c r="G88" s="26" t="s">
        <v>351</v>
      </c>
      <c r="H88" s="6"/>
      <c r="I88" s="14" t="s">
        <v>394</v>
      </c>
      <c r="J88" s="14" t="s">
        <v>4</v>
      </c>
      <c r="K88" s="14" t="s">
        <v>392</v>
      </c>
      <c r="L88" s="6"/>
      <c r="M88" s="34" t="s">
        <v>352</v>
      </c>
      <c r="N88" s="34" t="str">
        <f>VLOOKUP(G88,'Team Setup'!$B$5:$C$52,2,FALSE)</f>
        <v>St, jakob-Park</v>
      </c>
      <c r="O88" s="121"/>
      <c r="P88" s="122"/>
      <c r="Q88" s="123"/>
      <c r="R88" s="113"/>
      <c r="S88" s="105" t="str">
        <f>VLOOKUP(3,'Dummy Table'!$DG$48:$DH$51,2,FALSE)</f>
        <v>Partizan</v>
      </c>
      <c r="T88" s="23">
        <f>SUM(U88:W88)</f>
        <v>4</v>
      </c>
      <c r="U88" s="23">
        <f>SUMIF('Dummy Table'!B$48:B$51,'Group Stages'!S88,'Dummy Table'!Q$48:Q$51)</f>
        <v>1</v>
      </c>
      <c r="V88" s="23">
        <f>SUMIF('Dummy Table'!B$48:B$51,'Group Stages'!S88,'Dummy Table'!R$48:R$51)</f>
        <v>1</v>
      </c>
      <c r="W88" s="23">
        <f>SUMIF('Dummy Table'!B$48:B$51,'Group Stages'!S88,'Dummy Table'!S$48:S$51)</f>
        <v>2</v>
      </c>
      <c r="X88" s="23" t="str">
        <f>CONCATENATE(SUMIF('Dummy Table'!B$48:B$51,'Group Stages'!S88,'Dummy Table'!T$48:T$51)," - ",SUMIF('Dummy Table'!B$48:B$51,'Group Stages'!S88,'Dummy Table'!U$48:U$51))</f>
        <v>0 - 0</v>
      </c>
      <c r="Y88" s="106">
        <f>U88*3+V88*1</f>
        <v>4</v>
      </c>
      <c r="Z88" s="116"/>
      <c r="AA88" s="125"/>
      <c r="AC88" s="82" t="str">
        <f t="shared" si="3"/>
        <v>4FC Basel</v>
      </c>
      <c r="AD88" s="82" t="str">
        <f t="shared" si="4"/>
        <v>4Getafe CF</v>
      </c>
    </row>
    <row r="89" spans="2:30" ht="15" customHeight="1">
      <c r="B89" s="120"/>
      <c r="C89" s="7"/>
      <c r="D89" s="169">
        <f t="shared" si="2"/>
        <v>4</v>
      </c>
      <c r="E89" s="169" t="s">
        <v>190</v>
      </c>
      <c r="F89" s="104">
        <v>43776</v>
      </c>
      <c r="G89" s="26" t="s">
        <v>373</v>
      </c>
      <c r="H89" s="6"/>
      <c r="I89" s="14" t="s">
        <v>390</v>
      </c>
      <c r="J89" s="14" t="s">
        <v>4</v>
      </c>
      <c r="K89" s="14" t="s">
        <v>392</v>
      </c>
      <c r="L89" s="6"/>
      <c r="M89" s="34" t="s">
        <v>372</v>
      </c>
      <c r="N89" s="34" t="str">
        <f>VLOOKUP(G89,'Team Setup'!$B$5:$C$52,2,FALSE)</f>
        <v>Krasnodar Stadium</v>
      </c>
      <c r="O89" s="121"/>
      <c r="P89" s="122"/>
      <c r="Q89" s="123"/>
      <c r="R89" s="113"/>
      <c r="S89" s="108" t="str">
        <f>VLOOKUP(4,'Dummy Table'!$DG$48:$DH$51,2,FALSE)</f>
        <v>FK Astana</v>
      </c>
      <c r="T89" s="109">
        <f>SUM(U89:W89)</f>
        <v>4</v>
      </c>
      <c r="U89" s="109">
        <f>SUMIF('Dummy Table'!B$48:B$51,'Group Stages'!S89,'Dummy Table'!Q$48:Q$51)</f>
        <v>0</v>
      </c>
      <c r="V89" s="109">
        <f>SUMIF('Dummy Table'!B$48:B$51,'Group Stages'!S89,'Dummy Table'!R$48:R$51)</f>
        <v>0</v>
      </c>
      <c r="W89" s="109">
        <f>SUMIF('Dummy Table'!B$48:B$51,'Group Stages'!S89,'Dummy Table'!S$48:S$51)</f>
        <v>4</v>
      </c>
      <c r="X89" s="109" t="str">
        <f>CONCATENATE(SUMIF('Dummy Table'!B$48:B$51,'Group Stages'!S89,'Dummy Table'!T$48:T$51)," - ",SUMIF('Dummy Table'!B$48:B$51,'Group Stages'!S89,'Dummy Table'!U$48:U$51))</f>
        <v>0 - 0</v>
      </c>
      <c r="Y89" s="110">
        <f>U89*3+V89*1</f>
        <v>0</v>
      </c>
      <c r="Z89" s="114"/>
      <c r="AA89" s="125"/>
      <c r="AC89" s="82" t="str">
        <f t="shared" si="3"/>
        <v>4FK Krasnodar</v>
      </c>
      <c r="AD89" s="82" t="str">
        <f t="shared" si="4"/>
        <v>4Trabzonspor</v>
      </c>
    </row>
    <row r="90" spans="2:30" ht="15" customHeight="1">
      <c r="B90" s="120"/>
      <c r="C90" s="7"/>
      <c r="D90" s="169">
        <f t="shared" si="2"/>
        <v>4</v>
      </c>
      <c r="E90" s="169" t="s">
        <v>8</v>
      </c>
      <c r="F90" s="104">
        <v>43776</v>
      </c>
      <c r="G90" s="26" t="s">
        <v>353</v>
      </c>
      <c r="H90" s="6"/>
      <c r="I90" s="14" t="s">
        <v>395</v>
      </c>
      <c r="J90" s="14" t="s">
        <v>4</v>
      </c>
      <c r="K90" s="14" t="s">
        <v>392</v>
      </c>
      <c r="L90" s="6"/>
      <c r="M90" s="34" t="s">
        <v>354</v>
      </c>
      <c r="N90" s="34" t="str">
        <f>VLOOKUP(G90,'Team Setup'!$B$5:$C$52,2,FALSE)</f>
        <v>Linzer Stadion</v>
      </c>
      <c r="O90" s="121"/>
      <c r="P90" s="122"/>
      <c r="Q90" s="123"/>
      <c r="R90" s="117"/>
      <c r="S90" s="118"/>
      <c r="T90" s="118"/>
      <c r="U90" s="118"/>
      <c r="V90" s="118"/>
      <c r="W90" s="118"/>
      <c r="X90" s="118"/>
      <c r="Y90" s="118"/>
      <c r="Z90" s="119"/>
      <c r="AA90" s="125"/>
      <c r="AC90" s="82" t="str">
        <f t="shared" si="3"/>
        <v>4LASK</v>
      </c>
      <c r="AD90" s="82" t="str">
        <f t="shared" si="4"/>
        <v>4PSV Eindhoven</v>
      </c>
    </row>
    <row r="91" spans="2:30" ht="15" customHeight="1">
      <c r="B91" s="120"/>
      <c r="C91" s="7"/>
      <c r="D91" s="169">
        <f t="shared" si="2"/>
        <v>4</v>
      </c>
      <c r="E91" s="169" t="s">
        <v>8</v>
      </c>
      <c r="F91" s="104">
        <v>43776</v>
      </c>
      <c r="G91" s="26" t="s">
        <v>374</v>
      </c>
      <c r="H91" s="6"/>
      <c r="I91" s="14" t="s">
        <v>391</v>
      </c>
      <c r="J91" s="14" t="s">
        <v>4</v>
      </c>
      <c r="K91" s="14" t="s">
        <v>394</v>
      </c>
      <c r="L91" s="6"/>
      <c r="M91" s="34" t="s">
        <v>331</v>
      </c>
      <c r="N91" s="34" t="str">
        <f>VLOOKUP(G91,'Team Setup'!$B$5:$C$52,2,FALSE)</f>
        <v>Lerkendal Stadion</v>
      </c>
      <c r="O91" s="121"/>
      <c r="P91" s="122"/>
      <c r="Q91" s="123"/>
      <c r="R91" s="15"/>
      <c r="S91" s="27"/>
      <c r="T91" s="27"/>
      <c r="U91" s="27"/>
      <c r="V91" s="27"/>
      <c r="W91" s="27"/>
      <c r="X91" s="27"/>
      <c r="Y91" s="27"/>
      <c r="Z91" s="27"/>
      <c r="AA91" s="125"/>
      <c r="AC91" s="82" t="str">
        <f t="shared" si="3"/>
        <v>4Rosenborg BK</v>
      </c>
      <c r="AD91" s="82" t="str">
        <f t="shared" si="4"/>
        <v>4Sporting CP</v>
      </c>
    </row>
    <row r="92" spans="2:30" ht="15" customHeight="1">
      <c r="B92" s="120"/>
      <c r="C92" s="7"/>
      <c r="D92" s="169">
        <f t="shared" si="2"/>
        <v>4</v>
      </c>
      <c r="E92" s="169" t="s">
        <v>191</v>
      </c>
      <c r="F92" s="104">
        <v>43776</v>
      </c>
      <c r="G92" s="26" t="s">
        <v>239</v>
      </c>
      <c r="H92" s="6"/>
      <c r="I92" s="14" t="s">
        <v>392</v>
      </c>
      <c r="J92" s="14" t="s">
        <v>4</v>
      </c>
      <c r="K92" s="14" t="s">
        <v>394</v>
      </c>
      <c r="L92" s="6"/>
      <c r="M92" s="34" t="s">
        <v>375</v>
      </c>
      <c r="N92" s="34" t="str">
        <f>VLOOKUP(G92,'Team Setup'!$B$5:$C$52,2,FALSE)</f>
        <v>Olimpico</v>
      </c>
      <c r="O92" s="121"/>
      <c r="P92" s="122"/>
      <c r="Q92" s="123"/>
      <c r="R92" s="124" t="s">
        <v>214</v>
      </c>
      <c r="T92" s="122"/>
      <c r="U92" s="122"/>
      <c r="V92" s="122"/>
      <c r="W92" s="122"/>
      <c r="X92" s="122"/>
      <c r="Y92" s="122"/>
      <c r="Z92" s="122"/>
      <c r="AA92" s="125"/>
      <c r="AC92" s="82" t="str">
        <f t="shared" si="3"/>
        <v>4Lazio</v>
      </c>
      <c r="AD92" s="82" t="str">
        <f t="shared" si="4"/>
        <v>4Celtic FC</v>
      </c>
    </row>
    <row r="93" spans="2:30" ht="15" customHeight="1">
      <c r="B93" s="120"/>
      <c r="C93" s="7"/>
      <c r="D93" s="169">
        <f t="shared" si="2"/>
        <v>4</v>
      </c>
      <c r="E93" s="169" t="s">
        <v>191</v>
      </c>
      <c r="F93" s="104">
        <v>43776</v>
      </c>
      <c r="G93" s="26" t="s">
        <v>356</v>
      </c>
      <c r="H93" s="6"/>
      <c r="I93" s="14" t="s">
        <v>392</v>
      </c>
      <c r="J93" s="14" t="s">
        <v>4</v>
      </c>
      <c r="K93" s="14" t="s">
        <v>391</v>
      </c>
      <c r="L93" s="6"/>
      <c r="M93" s="34" t="s">
        <v>355</v>
      </c>
      <c r="N93" s="34" t="str">
        <f>VLOOKUP(G93,'Team Setup'!$B$5:$C$52,2,FALSE)</f>
        <v>Stadionul Dr. Constantin Rădulescu</v>
      </c>
      <c r="O93" s="121"/>
      <c r="P93" s="122"/>
      <c r="Q93" s="123"/>
      <c r="R93" s="126" t="s">
        <v>195</v>
      </c>
      <c r="T93" s="122"/>
      <c r="U93" s="122"/>
      <c r="V93" s="122"/>
      <c r="W93" s="122"/>
      <c r="X93" s="122"/>
      <c r="Y93" s="122"/>
      <c r="Z93" s="122"/>
      <c r="AA93" s="125"/>
      <c r="AC93" s="82" t="str">
        <f t="shared" si="3"/>
        <v>4CFR Cluj</v>
      </c>
      <c r="AD93" s="82" t="str">
        <f t="shared" si="4"/>
        <v>4Stade Rennes</v>
      </c>
    </row>
    <row r="94" spans="2:30" ht="15" customHeight="1">
      <c r="B94" s="120"/>
      <c r="C94" s="7"/>
      <c r="D94" s="169">
        <f t="shared" si="2"/>
        <v>4</v>
      </c>
      <c r="E94" s="169" t="s">
        <v>192</v>
      </c>
      <c r="F94" s="104">
        <v>43776</v>
      </c>
      <c r="G94" s="26" t="s">
        <v>379</v>
      </c>
      <c r="H94" s="6"/>
      <c r="I94" s="14" t="s">
        <v>392</v>
      </c>
      <c r="J94" s="14" t="s">
        <v>4</v>
      </c>
      <c r="K94" s="14" t="s">
        <v>392</v>
      </c>
      <c r="L94" s="6"/>
      <c r="M94" s="34" t="s">
        <v>378</v>
      </c>
      <c r="N94" s="34" t="str">
        <f>VLOOKUP(G94,'Team Setup'!$B$5:$C$52,2,FALSE)</f>
        <v>De Kuip</v>
      </c>
      <c r="O94" s="121"/>
      <c r="P94" s="122"/>
      <c r="Q94" s="123"/>
      <c r="R94" s="122"/>
      <c r="T94" s="122"/>
      <c r="U94" s="122"/>
      <c r="V94" s="122"/>
      <c r="W94" s="122"/>
      <c r="X94" s="122"/>
      <c r="Y94" s="122"/>
      <c r="Z94" s="122"/>
      <c r="AA94" s="125"/>
      <c r="AC94" s="82" t="str">
        <f t="shared" si="3"/>
        <v>4Feyenoord</v>
      </c>
      <c r="AD94" s="82" t="str">
        <f t="shared" si="4"/>
        <v>4BSC Young Boys</v>
      </c>
    </row>
    <row r="95" spans="2:30" ht="15" customHeight="1">
      <c r="B95" s="120"/>
      <c r="C95" s="7"/>
      <c r="D95" s="169">
        <f t="shared" si="2"/>
        <v>4</v>
      </c>
      <c r="E95" s="169" t="s">
        <v>192</v>
      </c>
      <c r="F95" s="104">
        <v>43776</v>
      </c>
      <c r="G95" s="26" t="s">
        <v>359</v>
      </c>
      <c r="H95" s="6"/>
      <c r="I95" s="14" t="s">
        <v>394</v>
      </c>
      <c r="J95" s="14" t="s">
        <v>4</v>
      </c>
      <c r="K95" s="14" t="s">
        <v>391</v>
      </c>
      <c r="L95" s="6"/>
      <c r="M95" s="34" t="s">
        <v>358</v>
      </c>
      <c r="N95" s="34" t="str">
        <f>VLOOKUP(G95,'Team Setup'!$B$5:$C$52,2,FALSE)</f>
        <v>Ibrox Stadium</v>
      </c>
      <c r="O95" s="121"/>
      <c r="P95" s="122"/>
      <c r="Q95" s="123"/>
      <c r="R95" s="122" t="s">
        <v>215</v>
      </c>
      <c r="T95" s="122"/>
      <c r="U95" s="122"/>
      <c r="V95" s="122"/>
      <c r="W95" s="122"/>
      <c r="X95" s="122"/>
      <c r="Y95" s="122"/>
      <c r="Z95" s="122"/>
      <c r="AA95" s="125"/>
      <c r="AC95" s="82" t="str">
        <f t="shared" si="3"/>
        <v>4Rangers FC</v>
      </c>
      <c r="AD95" s="82" t="str">
        <f t="shared" si="4"/>
        <v>4FC Porto</v>
      </c>
    </row>
    <row r="96" spans="2:30" ht="15" customHeight="1">
      <c r="B96" s="120"/>
      <c r="C96" s="7"/>
      <c r="D96" s="169">
        <f t="shared" si="2"/>
        <v>4</v>
      </c>
      <c r="E96" s="169" t="s">
        <v>193</v>
      </c>
      <c r="F96" s="104">
        <v>43776</v>
      </c>
      <c r="G96" s="26" t="s">
        <v>381</v>
      </c>
      <c r="H96" s="6"/>
      <c r="I96" s="14" t="s">
        <v>391</v>
      </c>
      <c r="J96" s="14" t="s">
        <v>4</v>
      </c>
      <c r="K96" s="14" t="s">
        <v>391</v>
      </c>
      <c r="L96" s="6"/>
      <c r="M96" s="34" t="s">
        <v>380</v>
      </c>
      <c r="N96" s="34" t="str">
        <f>VLOOKUP(G96,'Team Setup'!$B$5:$C$52,2,FALSE)</f>
        <v>Groupama Arena</v>
      </c>
      <c r="O96" s="121"/>
      <c r="P96" s="122"/>
      <c r="Q96" s="123"/>
      <c r="R96" s="122" t="s">
        <v>172</v>
      </c>
      <c r="T96" s="122"/>
      <c r="U96" s="122"/>
      <c r="V96" s="122"/>
      <c r="W96" s="122"/>
      <c r="X96" s="122"/>
      <c r="Y96" s="122"/>
      <c r="Z96" s="122"/>
      <c r="AA96" s="125"/>
      <c r="AC96" s="82" t="str">
        <f t="shared" si="3"/>
        <v>4Ferencvárosi TC</v>
      </c>
      <c r="AD96" s="82" t="str">
        <f t="shared" si="4"/>
        <v>4CSKA Moskva</v>
      </c>
    </row>
    <row r="97" spans="2:30" ht="15" customHeight="1">
      <c r="B97" s="120"/>
      <c r="C97" s="7"/>
      <c r="D97" s="169">
        <f t="shared" si="2"/>
        <v>4</v>
      </c>
      <c r="E97" s="169" t="s">
        <v>193</v>
      </c>
      <c r="F97" s="104">
        <v>43776</v>
      </c>
      <c r="G97" s="26" t="s">
        <v>436</v>
      </c>
      <c r="H97" s="6"/>
      <c r="I97" s="14" t="s">
        <v>396</v>
      </c>
      <c r="J97" s="14" t="s">
        <v>4</v>
      </c>
      <c r="K97" s="14" t="s">
        <v>391</v>
      </c>
      <c r="L97" s="6"/>
      <c r="M97" s="34" t="s">
        <v>360</v>
      </c>
      <c r="N97" s="34" t="str">
        <f>VLOOKUP(G97,'Team Setup'!$B$5:$C$52,2,FALSE)</f>
        <v>RCDE Stadium</v>
      </c>
      <c r="O97" s="121"/>
      <c r="P97" s="122"/>
      <c r="Q97" s="123"/>
      <c r="R97" s="122" t="s">
        <v>173</v>
      </c>
      <c r="T97" s="122"/>
      <c r="U97" s="122"/>
      <c r="V97" s="122"/>
      <c r="W97" s="122"/>
      <c r="X97" s="122"/>
      <c r="Y97" s="122"/>
      <c r="Z97" s="122"/>
      <c r="AA97" s="125"/>
      <c r="AC97" s="82" t="str">
        <f t="shared" si="3"/>
        <v>4Espanyol</v>
      </c>
      <c r="AD97" s="82" t="str">
        <f t="shared" si="4"/>
        <v>4PFC Ludogorets Razgrad</v>
      </c>
    </row>
    <row r="98" spans="2:30" ht="15" customHeight="1">
      <c r="B98" s="120"/>
      <c r="C98" s="7"/>
      <c r="D98" s="169">
        <f t="shared" si="2"/>
        <v>4</v>
      </c>
      <c r="E98" s="169" t="s">
        <v>234</v>
      </c>
      <c r="F98" s="104">
        <v>43776</v>
      </c>
      <c r="G98" s="26" t="s">
        <v>383</v>
      </c>
      <c r="H98" s="6"/>
      <c r="I98" s="14" t="s">
        <v>394</v>
      </c>
      <c r="J98" s="14" t="s">
        <v>4</v>
      </c>
      <c r="K98" s="14" t="s">
        <v>394</v>
      </c>
      <c r="L98" s="6"/>
      <c r="M98" s="34" t="s">
        <v>382</v>
      </c>
      <c r="N98" s="34" t="str">
        <f>VLOOKUP(G98,'Team Setup'!$B$5:$C$52,2,FALSE)</f>
        <v>Arena Lviv</v>
      </c>
      <c r="O98" s="121"/>
      <c r="P98" s="122"/>
      <c r="Q98" s="123"/>
      <c r="R98" s="122" t="s">
        <v>174</v>
      </c>
      <c r="T98" s="122"/>
      <c r="U98" s="122"/>
      <c r="V98" s="122"/>
      <c r="W98" s="122"/>
      <c r="X98" s="122"/>
      <c r="Y98" s="122"/>
      <c r="Z98" s="122"/>
      <c r="AA98" s="125"/>
      <c r="AC98" s="82" t="str">
        <f t="shared" si="3"/>
        <v>4FC Oleksandriya</v>
      </c>
      <c r="AD98" s="82" t="str">
        <f t="shared" si="4"/>
        <v>4AS Saint-Étienne</v>
      </c>
    </row>
    <row r="99" spans="2:30" ht="15" customHeight="1">
      <c r="B99" s="120"/>
      <c r="C99" s="7"/>
      <c r="D99" s="169">
        <f t="shared" ref="D99:D153" si="5">D75+1</f>
        <v>4</v>
      </c>
      <c r="E99" s="169" t="s">
        <v>234</v>
      </c>
      <c r="F99" s="104">
        <v>43776</v>
      </c>
      <c r="G99" s="26" t="s">
        <v>362</v>
      </c>
      <c r="H99" s="6"/>
      <c r="I99" s="14" t="s">
        <v>392</v>
      </c>
      <c r="J99" s="14" t="s">
        <v>4</v>
      </c>
      <c r="K99" s="14" t="s">
        <v>390</v>
      </c>
      <c r="L99" s="6"/>
      <c r="M99" s="34" t="s">
        <v>361</v>
      </c>
      <c r="N99" s="34" t="str">
        <f>VLOOKUP(G99,'Team Setup'!$B$5:$C$52,2,FALSE)</f>
        <v>Volkswagen Area</v>
      </c>
      <c r="O99" s="121"/>
      <c r="P99" s="122"/>
      <c r="Q99" s="123"/>
      <c r="R99" s="122" t="s">
        <v>175</v>
      </c>
      <c r="T99" s="122"/>
      <c r="U99" s="122"/>
      <c r="V99" s="122"/>
      <c r="W99" s="122"/>
      <c r="X99" s="122"/>
      <c r="Y99" s="122"/>
      <c r="Z99" s="122"/>
      <c r="AA99" s="125"/>
      <c r="AC99" s="82" t="str">
        <f t="shared" si="3"/>
        <v>4VfL Wolfsburg</v>
      </c>
      <c r="AD99" s="82" t="str">
        <f t="shared" si="4"/>
        <v>4KAA Gent</v>
      </c>
    </row>
    <row r="100" spans="2:30" ht="15" customHeight="1">
      <c r="B100" s="120"/>
      <c r="C100" s="7"/>
      <c r="D100" s="169">
        <f t="shared" si="5"/>
        <v>4</v>
      </c>
      <c r="E100" s="169" t="s">
        <v>235</v>
      </c>
      <c r="F100" s="104">
        <v>43776</v>
      </c>
      <c r="G100" s="26" t="s">
        <v>364</v>
      </c>
      <c r="H100" s="6"/>
      <c r="I100" s="14" t="s">
        <v>394</v>
      </c>
      <c r="J100" s="14" t="s">
        <v>4</v>
      </c>
      <c r="K100" s="14" t="s">
        <v>392</v>
      </c>
      <c r="L100" s="6"/>
      <c r="M100" s="34" t="s">
        <v>363</v>
      </c>
      <c r="N100" s="34" t="str">
        <f>VLOOKUP(G100,'Team Setup'!$B$5:$C$52,2,FALSE)</f>
        <v>Borussia Park</v>
      </c>
      <c r="O100" s="121"/>
      <c r="P100" s="122"/>
      <c r="Q100" s="123"/>
      <c r="R100" s="122" t="s">
        <v>176</v>
      </c>
      <c r="T100" s="122"/>
      <c r="U100" s="122"/>
      <c r="V100" s="122"/>
      <c r="W100" s="122"/>
      <c r="X100" s="122"/>
      <c r="Y100" s="122"/>
      <c r="Z100" s="122"/>
      <c r="AA100" s="125"/>
      <c r="AC100" s="82" t="str">
        <f t="shared" si="3"/>
        <v>4Bor. Mönchengladbach</v>
      </c>
      <c r="AD100" s="82" t="str">
        <f t="shared" si="4"/>
        <v>4AS Roma</v>
      </c>
    </row>
    <row r="101" spans="2:30" ht="15" customHeight="1">
      <c r="B101" s="120"/>
      <c r="C101" s="7"/>
      <c r="D101" s="169">
        <f t="shared" si="5"/>
        <v>4</v>
      </c>
      <c r="E101" s="169" t="s">
        <v>235</v>
      </c>
      <c r="F101" s="104">
        <v>43776</v>
      </c>
      <c r="G101" s="26" t="s">
        <v>384</v>
      </c>
      <c r="H101" s="6"/>
      <c r="I101" s="14" t="s">
        <v>391</v>
      </c>
      <c r="J101" s="14" t="s">
        <v>4</v>
      </c>
      <c r="K101" s="14" t="s">
        <v>390</v>
      </c>
      <c r="L101" s="6"/>
      <c r="M101" s="34" t="s">
        <v>385</v>
      </c>
      <c r="N101" s="34" t="str">
        <f>VLOOKUP(G101,'Team Setup'!$B$5:$C$52,2,FALSE)</f>
        <v>Liebenauer Stadium</v>
      </c>
      <c r="O101" s="121"/>
      <c r="P101" s="122"/>
      <c r="Q101" s="123"/>
      <c r="R101" s="122" t="s">
        <v>177</v>
      </c>
      <c r="T101" s="122"/>
      <c r="U101" s="122"/>
      <c r="V101" s="122"/>
      <c r="W101" s="122"/>
      <c r="X101" s="122"/>
      <c r="Y101" s="122"/>
      <c r="Z101" s="122"/>
      <c r="AA101" s="125"/>
      <c r="AC101" s="82" t="str">
        <f t="shared" si="3"/>
        <v>4Wolfsberger AC</v>
      </c>
      <c r="AD101" s="82" t="str">
        <f t="shared" si="4"/>
        <v>4İstanbul Başakşehir F.K.</v>
      </c>
    </row>
    <row r="102" spans="2:30" ht="15" customHeight="1">
      <c r="B102" s="120"/>
      <c r="C102" s="7"/>
      <c r="D102" s="169">
        <f t="shared" si="5"/>
        <v>4</v>
      </c>
      <c r="E102" s="169" t="s">
        <v>236</v>
      </c>
      <c r="F102" s="104">
        <v>43776</v>
      </c>
      <c r="G102" s="26" t="s">
        <v>387</v>
      </c>
      <c r="H102" s="6"/>
      <c r="I102" s="14" t="s">
        <v>390</v>
      </c>
      <c r="J102" s="14" t="s">
        <v>4</v>
      </c>
      <c r="K102" s="14" t="s">
        <v>392</v>
      </c>
      <c r="L102" s="6"/>
      <c r="M102" s="34" t="s">
        <v>386</v>
      </c>
      <c r="N102" s="34" t="str">
        <f>VLOOKUP(G102,'Team Setup'!$B$5:$C$52,2,FALSE)</f>
        <v>Estadio Municipal</v>
      </c>
      <c r="O102" s="121"/>
      <c r="P102" s="122"/>
      <c r="Q102" s="123"/>
      <c r="R102" s="122" t="s">
        <v>178</v>
      </c>
      <c r="T102" s="122"/>
      <c r="U102" s="122"/>
      <c r="V102" s="122"/>
      <c r="W102" s="122"/>
      <c r="X102" s="122"/>
      <c r="Y102" s="122"/>
      <c r="Z102" s="122"/>
      <c r="AA102" s="125"/>
      <c r="AC102" s="82" t="str">
        <f t="shared" si="3"/>
        <v>4Sporting Braga</v>
      </c>
      <c r="AD102" s="82" t="str">
        <f t="shared" si="4"/>
        <v>4Beşiktaş</v>
      </c>
    </row>
    <row r="103" spans="2:30" ht="15" customHeight="1">
      <c r="B103" s="120"/>
      <c r="C103" s="7"/>
      <c r="D103" s="169">
        <f t="shared" si="5"/>
        <v>4</v>
      </c>
      <c r="E103" s="169" t="s">
        <v>236</v>
      </c>
      <c r="F103" s="104">
        <v>43776</v>
      </c>
      <c r="G103" s="26" t="s">
        <v>366</v>
      </c>
      <c r="H103" s="6"/>
      <c r="I103" s="14" t="s">
        <v>392</v>
      </c>
      <c r="J103" s="14" t="s">
        <v>4</v>
      </c>
      <c r="K103" s="14" t="s">
        <v>391</v>
      </c>
      <c r="L103" s="6"/>
      <c r="M103" s="34" t="s">
        <v>365</v>
      </c>
      <c r="N103" s="34" t="str">
        <f>VLOOKUP(G103,'Team Setup'!$B$5:$C$52,2,FALSE)</f>
        <v>Molineux Stadium</v>
      </c>
      <c r="O103" s="121"/>
      <c r="P103" s="122"/>
      <c r="Q103" s="123"/>
      <c r="R103" s="122" t="s">
        <v>179</v>
      </c>
      <c r="T103" s="122"/>
      <c r="U103" s="122"/>
      <c r="V103" s="122"/>
      <c r="W103" s="122"/>
      <c r="X103" s="122"/>
      <c r="Y103" s="122"/>
      <c r="Z103" s="122"/>
      <c r="AA103" s="125"/>
      <c r="AC103" s="82" t="str">
        <f t="shared" si="3"/>
        <v>4Wolverhampton Wanderers</v>
      </c>
      <c r="AD103" s="82" t="str">
        <f t="shared" si="4"/>
        <v>4Slovan Bratislava</v>
      </c>
    </row>
    <row r="104" spans="2:30" ht="15" customHeight="1">
      <c r="B104" s="120"/>
      <c r="C104" s="7"/>
      <c r="D104" s="169">
        <f t="shared" si="5"/>
        <v>4</v>
      </c>
      <c r="E104" s="169" t="s">
        <v>9</v>
      </c>
      <c r="F104" s="104">
        <v>43776</v>
      </c>
      <c r="G104" s="26" t="s">
        <v>388</v>
      </c>
      <c r="H104" s="6"/>
      <c r="I104" s="14" t="s">
        <v>391</v>
      </c>
      <c r="J104" s="14" t="s">
        <v>4</v>
      </c>
      <c r="K104" s="14" t="s">
        <v>393</v>
      </c>
      <c r="L104" s="6"/>
      <c r="M104" s="34" t="s">
        <v>389</v>
      </c>
      <c r="N104" s="34" t="str">
        <f>VLOOKUP(G104,'Team Setup'!$B$5:$C$52,2,FALSE)</f>
        <v>Astana Arena</v>
      </c>
      <c r="O104" s="121"/>
      <c r="P104" s="122"/>
      <c r="Q104" s="123"/>
      <c r="R104" s="122" t="s">
        <v>180</v>
      </c>
      <c r="T104" s="122"/>
      <c r="U104" s="122"/>
      <c r="V104" s="122"/>
      <c r="W104" s="122"/>
      <c r="X104" s="122"/>
      <c r="Y104" s="122"/>
      <c r="Z104" s="122"/>
      <c r="AA104" s="125"/>
      <c r="AC104" s="82" t="str">
        <f t="shared" si="3"/>
        <v>4FK Astana</v>
      </c>
      <c r="AD104" s="82" t="str">
        <f t="shared" si="4"/>
        <v>4AZ Alkmaar</v>
      </c>
    </row>
    <row r="105" spans="2:30" ht="15" customHeight="1">
      <c r="B105" s="120"/>
      <c r="C105" s="7"/>
      <c r="D105" s="169">
        <f t="shared" si="5"/>
        <v>4</v>
      </c>
      <c r="E105" s="169" t="s">
        <v>9</v>
      </c>
      <c r="F105" s="104">
        <v>43776</v>
      </c>
      <c r="G105" s="26" t="s">
        <v>368</v>
      </c>
      <c r="H105" s="6"/>
      <c r="I105" s="14" t="s">
        <v>390</v>
      </c>
      <c r="J105" s="14" t="s">
        <v>4</v>
      </c>
      <c r="K105" s="14" t="s">
        <v>391</v>
      </c>
      <c r="L105" s="6"/>
      <c r="M105" s="34" t="s">
        <v>367</v>
      </c>
      <c r="N105" s="34" t="str">
        <f>VLOOKUP(G105,'Team Setup'!$B$5:$C$52,2,FALSE)</f>
        <v>Old Trafford</v>
      </c>
      <c r="O105" s="121"/>
      <c r="P105" s="122"/>
      <c r="Q105" s="123"/>
      <c r="R105" s="122" t="s">
        <v>181</v>
      </c>
      <c r="T105" s="122"/>
      <c r="U105" s="122"/>
      <c r="V105" s="122"/>
      <c r="W105" s="122"/>
      <c r="X105" s="122"/>
      <c r="Y105" s="122"/>
      <c r="Z105" s="122"/>
      <c r="AA105" s="125"/>
      <c r="AC105" s="82" t="str">
        <f t="shared" si="3"/>
        <v>4Manchester United</v>
      </c>
      <c r="AD105" s="82" t="str">
        <f t="shared" si="4"/>
        <v>4Partizan</v>
      </c>
    </row>
    <row r="106" spans="2:30" s="122" customFormat="1" ht="15" customHeight="1">
      <c r="B106" s="120"/>
      <c r="C106" s="191"/>
      <c r="D106" s="169">
        <f t="shared" si="5"/>
        <v>5</v>
      </c>
      <c r="E106" s="169" t="s">
        <v>15</v>
      </c>
      <c r="F106" s="104">
        <v>43797</v>
      </c>
      <c r="G106" s="26" t="s">
        <v>332</v>
      </c>
      <c r="H106" s="6"/>
      <c r="I106" s="14"/>
      <c r="J106" s="14" t="s">
        <v>4</v>
      </c>
      <c r="K106" s="14"/>
      <c r="L106" s="6"/>
      <c r="M106" s="34" t="s">
        <v>347</v>
      </c>
      <c r="N106" s="34" t="str">
        <f>VLOOKUP(G106,'Team Setup'!$B$5:$C$52,2,FALSE)</f>
        <v>Stade Josy Barthel</v>
      </c>
      <c r="O106" s="121"/>
      <c r="Q106" s="123"/>
      <c r="R106" s="122" t="s">
        <v>182</v>
      </c>
      <c r="S106" s="76"/>
      <c r="AA106" s="125"/>
      <c r="AC106" s="178"/>
      <c r="AD106" s="178"/>
    </row>
    <row r="107" spans="2:30" s="122" customFormat="1" ht="15" customHeight="1">
      <c r="B107" s="195"/>
      <c r="C107" s="120"/>
      <c r="D107" s="169">
        <f t="shared" si="5"/>
        <v>5</v>
      </c>
      <c r="E107" s="169" t="s">
        <v>15</v>
      </c>
      <c r="F107" s="104">
        <v>43797</v>
      </c>
      <c r="G107" s="26" t="s">
        <v>369</v>
      </c>
      <c r="H107" s="6"/>
      <c r="I107" s="14"/>
      <c r="J107" s="14" t="s">
        <v>4</v>
      </c>
      <c r="K107" s="14"/>
      <c r="L107" s="6"/>
      <c r="M107" s="34" t="s">
        <v>348</v>
      </c>
      <c r="N107" s="34" t="str">
        <f>VLOOKUP(G107,'Team Setup'!$B$5:$C$52,2,FALSE)</f>
        <v>Ramón Sánchez Pizjuán</v>
      </c>
      <c r="O107" s="125"/>
      <c r="Q107" s="123"/>
      <c r="R107" s="122" t="s">
        <v>183</v>
      </c>
      <c r="S107" s="76"/>
      <c r="AA107" s="125"/>
      <c r="AC107" s="178"/>
      <c r="AD107" s="178"/>
    </row>
    <row r="108" spans="2:30" s="176" customFormat="1">
      <c r="B108" s="192"/>
      <c r="C108" s="192"/>
      <c r="D108" s="169">
        <f t="shared" si="5"/>
        <v>5</v>
      </c>
      <c r="E108" s="169" t="s">
        <v>189</v>
      </c>
      <c r="F108" s="104">
        <v>43797</v>
      </c>
      <c r="G108" s="26" t="s">
        <v>371</v>
      </c>
      <c r="H108" s="6"/>
      <c r="I108" s="14"/>
      <c r="J108" s="14" t="s">
        <v>4</v>
      </c>
      <c r="K108" s="14"/>
      <c r="L108" s="6"/>
      <c r="M108" s="34" t="s">
        <v>349</v>
      </c>
      <c r="N108" s="34" t="str">
        <f>VLOOKUP(G108,'Team Setup'!$B$5:$C$52,2,FALSE)</f>
        <v>Malmo</v>
      </c>
      <c r="O108" s="193"/>
      <c r="P108" s="122"/>
      <c r="Q108" s="123"/>
      <c r="R108" s="122"/>
      <c r="S108" s="76"/>
      <c r="T108" s="122"/>
      <c r="U108" s="122"/>
      <c r="V108" s="122"/>
      <c r="W108" s="122"/>
      <c r="X108" s="122"/>
      <c r="Y108" s="122"/>
      <c r="Z108" s="122"/>
      <c r="AA108" s="193"/>
      <c r="AC108" s="177"/>
      <c r="AD108" s="177"/>
    </row>
    <row r="109" spans="2:30">
      <c r="B109" s="120"/>
      <c r="C109" s="120"/>
      <c r="D109" s="169">
        <f t="shared" si="5"/>
        <v>5</v>
      </c>
      <c r="E109" s="169" t="s">
        <v>189</v>
      </c>
      <c r="F109" s="104">
        <v>43797</v>
      </c>
      <c r="G109" s="26" t="s">
        <v>370</v>
      </c>
      <c r="H109" s="6"/>
      <c r="I109" s="14"/>
      <c r="J109" s="14" t="s">
        <v>4</v>
      </c>
      <c r="K109" s="14"/>
      <c r="L109" s="6"/>
      <c r="M109" s="34" t="s">
        <v>350</v>
      </c>
      <c r="N109" s="34" t="str">
        <f>VLOOKUP(G109,'Team Setup'!$B$5:$C$52,2,FALSE)</f>
        <v>Kybunpark, St Gallen</v>
      </c>
      <c r="O109" s="125"/>
      <c r="P109" s="122"/>
      <c r="Q109" s="123"/>
      <c r="R109" s="124" t="s">
        <v>437</v>
      </c>
      <c r="T109" s="122"/>
      <c r="U109" s="122"/>
      <c r="V109" s="122"/>
      <c r="W109" s="122"/>
      <c r="X109" s="122"/>
      <c r="Y109" s="122"/>
      <c r="Z109" s="122"/>
      <c r="AA109" s="125"/>
    </row>
    <row r="110" spans="2:30">
      <c r="B110" s="120"/>
      <c r="C110" s="120"/>
      <c r="D110" s="169">
        <f t="shared" si="5"/>
        <v>5</v>
      </c>
      <c r="E110" s="169" t="s">
        <v>190</v>
      </c>
      <c r="F110" s="104">
        <v>43797</v>
      </c>
      <c r="G110" s="26" t="s">
        <v>373</v>
      </c>
      <c r="H110" s="6"/>
      <c r="I110" s="14"/>
      <c r="J110" s="14" t="s">
        <v>4</v>
      </c>
      <c r="K110" s="14"/>
      <c r="L110" s="6"/>
      <c r="M110" s="34" t="s">
        <v>351</v>
      </c>
      <c r="N110" s="34" t="str">
        <f>VLOOKUP(G110,'Team Setup'!$B$5:$C$52,2,FALSE)</f>
        <v>Krasnodar Stadium</v>
      </c>
      <c r="O110" s="125"/>
      <c r="P110" s="122"/>
      <c r="Q110" s="123"/>
      <c r="R110" s="127" t="s">
        <v>246</v>
      </c>
      <c r="T110" s="128" t="s">
        <v>17</v>
      </c>
      <c r="U110" s="122"/>
      <c r="V110" s="129" t="s">
        <v>194</v>
      </c>
      <c r="W110" s="122"/>
      <c r="X110" s="122"/>
      <c r="Y110" s="122"/>
      <c r="Z110" s="122"/>
      <c r="AA110" s="125"/>
    </row>
    <row r="111" spans="2:30">
      <c r="B111" s="120"/>
      <c r="C111" s="120"/>
      <c r="D111" s="169">
        <f t="shared" si="5"/>
        <v>5</v>
      </c>
      <c r="E111" s="169" t="s">
        <v>190</v>
      </c>
      <c r="F111" s="104">
        <v>43797</v>
      </c>
      <c r="G111" s="26" t="s">
        <v>372</v>
      </c>
      <c r="H111" s="6"/>
      <c r="I111" s="14"/>
      <c r="J111" s="14" t="s">
        <v>4</v>
      </c>
      <c r="K111" s="14"/>
      <c r="L111" s="6"/>
      <c r="M111" s="34" t="s">
        <v>352</v>
      </c>
      <c r="N111" s="34" t="str">
        <f>VLOOKUP(G111,'Team Setup'!$B$5:$C$52,2,FALSE)</f>
        <v>Şenol Güneş Stadium</v>
      </c>
      <c r="O111" s="125"/>
      <c r="P111" s="122"/>
      <c r="Q111" s="123"/>
      <c r="R111" s="130" t="s">
        <v>15</v>
      </c>
      <c r="S111" s="131" t="str">
        <f>S9</f>
        <v>Sevilla FC</v>
      </c>
      <c r="T111" s="131" t="str">
        <f>VLOOKUP(S111,'Team Setup'!$B$5:$D$52,3,FALSE)</f>
        <v>Spain</v>
      </c>
      <c r="U111" s="122"/>
      <c r="V111" s="14"/>
      <c r="W111" s="122"/>
      <c r="X111" s="100" t="str">
        <f t="shared" ref="X111:X122" si="6">S111</f>
        <v>Sevilla FC</v>
      </c>
      <c r="Y111" s="122"/>
      <c r="Z111" s="122"/>
      <c r="AA111" s="125"/>
    </row>
    <row r="112" spans="2:30">
      <c r="B112" s="120"/>
      <c r="C112" s="120"/>
      <c r="D112" s="169">
        <f t="shared" si="5"/>
        <v>5</v>
      </c>
      <c r="E112" s="169" t="s">
        <v>8</v>
      </c>
      <c r="F112" s="104">
        <v>43797</v>
      </c>
      <c r="G112" s="26" t="s">
        <v>374</v>
      </c>
      <c r="H112" s="6"/>
      <c r="I112" s="14"/>
      <c r="J112" s="14" t="s">
        <v>4</v>
      </c>
      <c r="K112" s="14"/>
      <c r="L112" s="6"/>
      <c r="M112" s="34" t="s">
        <v>353</v>
      </c>
      <c r="N112" s="34" t="str">
        <f>VLOOKUP(G112,'Team Setup'!$B$5:$C$52,2,FALSE)</f>
        <v>Lerkendal Stadion</v>
      </c>
      <c r="O112" s="125"/>
      <c r="P112" s="122"/>
      <c r="Q112" s="123"/>
      <c r="R112" s="130" t="s">
        <v>189</v>
      </c>
      <c r="S112" s="131" t="str">
        <f>S16</f>
        <v>Dinamo Kiev</v>
      </c>
      <c r="T112" s="131" t="str">
        <f>VLOOKUP(S112,'Team Setup'!$B$5:$D$52,3,FALSE)</f>
        <v>Ukraine</v>
      </c>
      <c r="U112" s="122"/>
      <c r="V112" s="14"/>
      <c r="W112" s="122"/>
      <c r="X112" s="100" t="str">
        <f t="shared" si="6"/>
        <v>Dinamo Kiev</v>
      </c>
      <c r="Y112" s="122"/>
      <c r="Z112" s="122"/>
      <c r="AA112" s="125"/>
    </row>
    <row r="113" spans="2:27">
      <c r="B113" s="120"/>
      <c r="C113" s="120"/>
      <c r="D113" s="169">
        <f t="shared" si="5"/>
        <v>5</v>
      </c>
      <c r="E113" s="169" t="s">
        <v>8</v>
      </c>
      <c r="F113" s="104">
        <v>43797</v>
      </c>
      <c r="G113" s="26" t="s">
        <v>331</v>
      </c>
      <c r="H113" s="6"/>
      <c r="I113" s="14"/>
      <c r="J113" s="14" t="s">
        <v>4</v>
      </c>
      <c r="K113" s="14"/>
      <c r="L113" s="6"/>
      <c r="M113" s="34" t="s">
        <v>354</v>
      </c>
      <c r="N113" s="34" t="str">
        <f>VLOOKUP(G113,'Team Setup'!$B$5:$C$52,2,FALSE)</f>
        <v>Estadio Jose Alvalade</v>
      </c>
      <c r="O113" s="125"/>
      <c r="P113" s="122"/>
      <c r="Q113" s="123"/>
      <c r="R113" s="130" t="s">
        <v>190</v>
      </c>
      <c r="S113" s="131" t="str">
        <f>S23</f>
        <v>FC Basel</v>
      </c>
      <c r="T113" s="131" t="str">
        <f>VLOOKUP(S113,'Team Setup'!$B$5:$D$52,3,FALSE)</f>
        <v>Switzerland</v>
      </c>
      <c r="U113" s="122"/>
      <c r="V113" s="14"/>
      <c r="W113" s="122"/>
      <c r="X113" s="100" t="str">
        <f t="shared" si="6"/>
        <v>FC Basel</v>
      </c>
      <c r="Y113" s="122"/>
      <c r="Z113" s="122"/>
      <c r="AA113" s="125"/>
    </row>
    <row r="114" spans="2:27">
      <c r="B114" s="120"/>
      <c r="C114" s="120"/>
      <c r="D114" s="169">
        <f t="shared" si="5"/>
        <v>5</v>
      </c>
      <c r="E114" s="169" t="s">
        <v>191</v>
      </c>
      <c r="F114" s="104">
        <v>43797</v>
      </c>
      <c r="G114" s="26" t="s">
        <v>375</v>
      </c>
      <c r="H114" s="6"/>
      <c r="I114" s="14"/>
      <c r="J114" s="14" t="s">
        <v>4</v>
      </c>
      <c r="K114" s="14"/>
      <c r="L114" s="6"/>
      <c r="M114" s="34" t="s">
        <v>355</v>
      </c>
      <c r="N114" s="34" t="str">
        <f>VLOOKUP(G114,'Team Setup'!$B$5:$C$52,2,FALSE)</f>
        <v>Celtic Park</v>
      </c>
      <c r="O114" s="125"/>
      <c r="P114" s="122"/>
      <c r="Q114" s="123"/>
      <c r="R114" s="130" t="s">
        <v>8</v>
      </c>
      <c r="S114" s="131" t="str">
        <f>S30</f>
        <v>Sporting CP</v>
      </c>
      <c r="T114" s="131" t="str">
        <f>VLOOKUP(S114,'Team Setup'!$B$5:$D$52,3,FALSE)</f>
        <v>Portugal</v>
      </c>
      <c r="U114" s="122"/>
      <c r="V114" s="14"/>
      <c r="W114" s="122"/>
      <c r="X114" s="100" t="str">
        <f t="shared" si="6"/>
        <v>Sporting CP</v>
      </c>
      <c r="Y114" s="122"/>
      <c r="Z114" s="122"/>
      <c r="AA114" s="125"/>
    </row>
    <row r="115" spans="2:27">
      <c r="B115" s="120"/>
      <c r="C115" s="120"/>
      <c r="D115" s="169">
        <f t="shared" si="5"/>
        <v>5</v>
      </c>
      <c r="E115" s="169" t="s">
        <v>191</v>
      </c>
      <c r="F115" s="104">
        <v>43797</v>
      </c>
      <c r="G115" s="26" t="s">
        <v>239</v>
      </c>
      <c r="H115" s="6"/>
      <c r="I115" s="14"/>
      <c r="J115" s="14" t="s">
        <v>4</v>
      </c>
      <c r="K115" s="14"/>
      <c r="L115" s="6"/>
      <c r="M115" s="34" t="s">
        <v>356</v>
      </c>
      <c r="N115" s="34" t="str">
        <f>VLOOKUP(G115,'Team Setup'!$B$5:$C$52,2,FALSE)</f>
        <v>Olimpico</v>
      </c>
      <c r="O115" s="125"/>
      <c r="P115" s="122"/>
      <c r="Q115" s="123"/>
      <c r="R115" s="130" t="s">
        <v>191</v>
      </c>
      <c r="S115" s="76" t="str">
        <f>S37</f>
        <v>Celtic FC</v>
      </c>
      <c r="T115" s="131" t="str">
        <f>VLOOKUP(S115,'Team Setup'!$B$5:$D$52,3,FALSE)</f>
        <v>Scotland</v>
      </c>
      <c r="U115" s="122"/>
      <c r="V115" s="14"/>
      <c r="W115" s="122"/>
      <c r="X115" s="100" t="str">
        <f t="shared" si="6"/>
        <v>Celtic FC</v>
      </c>
      <c r="Y115" s="122"/>
      <c r="Z115" s="122"/>
      <c r="AA115" s="125"/>
    </row>
    <row r="116" spans="2:27">
      <c r="B116" s="120"/>
      <c r="C116" s="120"/>
      <c r="D116" s="169">
        <f t="shared" si="5"/>
        <v>5</v>
      </c>
      <c r="E116" s="169" t="s">
        <v>14</v>
      </c>
      <c r="F116" s="104">
        <v>43797</v>
      </c>
      <c r="G116" s="26" t="s">
        <v>376</v>
      </c>
      <c r="H116" s="6"/>
      <c r="I116" s="14"/>
      <c r="J116" s="14" t="s">
        <v>4</v>
      </c>
      <c r="K116" s="14"/>
      <c r="L116" s="6"/>
      <c r="M116" s="34" t="s">
        <v>333</v>
      </c>
      <c r="N116" s="34" t="str">
        <f>VLOOKUP(G116,'Team Setup'!$B$5:$C$52,2,FALSE)</f>
        <v>Emirates Stadium</v>
      </c>
      <c r="O116" s="125"/>
      <c r="P116" s="122"/>
      <c r="Q116" s="123"/>
      <c r="R116" s="130" t="s">
        <v>14</v>
      </c>
      <c r="S116" s="76" t="str">
        <f>S44</f>
        <v>Arsenal FC</v>
      </c>
      <c r="T116" s="131" t="str">
        <f>VLOOKUP(S116,'Team Setup'!$B$5:$D$52,3,FALSE)</f>
        <v>England</v>
      </c>
      <c r="U116" s="122"/>
      <c r="V116" s="14"/>
      <c r="W116" s="122"/>
      <c r="X116" s="100" t="str">
        <f t="shared" si="6"/>
        <v>Arsenal FC</v>
      </c>
      <c r="Y116" s="122"/>
      <c r="Z116" s="122"/>
      <c r="AA116" s="125"/>
    </row>
    <row r="117" spans="2:27">
      <c r="B117" s="120"/>
      <c r="C117" s="120"/>
      <c r="D117" s="169">
        <f t="shared" si="5"/>
        <v>5</v>
      </c>
      <c r="E117" s="169" t="s">
        <v>14</v>
      </c>
      <c r="F117" s="104">
        <v>43797</v>
      </c>
      <c r="G117" s="26" t="s">
        <v>377</v>
      </c>
      <c r="H117" s="6"/>
      <c r="I117" s="14"/>
      <c r="J117" s="14" t="s">
        <v>4</v>
      </c>
      <c r="K117" s="14"/>
      <c r="L117" s="6"/>
      <c r="M117" s="34" t="s">
        <v>357</v>
      </c>
      <c r="N117" s="34" t="str">
        <f>VLOOKUP(G117,'Team Setup'!$B$5:$C$52,2,FALSE)</f>
        <v>Estádio D. Afonso Henriques</v>
      </c>
      <c r="O117" s="125"/>
      <c r="P117" s="122"/>
      <c r="Q117" s="123"/>
      <c r="R117" s="130" t="s">
        <v>192</v>
      </c>
      <c r="S117" s="76" t="str">
        <f>S51</f>
        <v>BSC Young Boys</v>
      </c>
      <c r="T117" s="131" t="str">
        <f>VLOOKUP(S117,'Team Setup'!$B$5:$D$52,3,FALSE)</f>
        <v>Switzerland</v>
      </c>
      <c r="U117" s="122"/>
      <c r="V117" s="14"/>
      <c r="W117" s="122"/>
      <c r="X117" s="100" t="str">
        <f t="shared" si="6"/>
        <v>BSC Young Boys</v>
      </c>
      <c r="Y117" s="122"/>
      <c r="Z117" s="122"/>
      <c r="AA117" s="125"/>
    </row>
    <row r="118" spans="2:27">
      <c r="B118" s="120"/>
      <c r="C118" s="120"/>
      <c r="D118" s="169">
        <f t="shared" si="5"/>
        <v>5</v>
      </c>
      <c r="E118" s="169" t="s">
        <v>192</v>
      </c>
      <c r="F118" s="104">
        <v>43797</v>
      </c>
      <c r="G118" s="26" t="s">
        <v>378</v>
      </c>
      <c r="H118" s="6"/>
      <c r="I118" s="14"/>
      <c r="J118" s="14" t="s">
        <v>4</v>
      </c>
      <c r="K118" s="14"/>
      <c r="L118" s="6"/>
      <c r="M118" s="34" t="s">
        <v>358</v>
      </c>
      <c r="N118" s="34" t="str">
        <f>VLOOKUP(G118,'Team Setup'!$B$5:$C$52,2,FALSE)</f>
        <v>Stade de Suisse</v>
      </c>
      <c r="O118" s="125"/>
      <c r="P118" s="122"/>
      <c r="Q118" s="123"/>
      <c r="R118" s="130" t="s">
        <v>193</v>
      </c>
      <c r="S118" s="76" t="str">
        <f>S58</f>
        <v>Espanyol</v>
      </c>
      <c r="T118" s="131" t="str">
        <f>VLOOKUP(S118,'Team Setup'!$B$5:$D$52,3,FALSE)</f>
        <v>Spain</v>
      </c>
      <c r="U118" s="122"/>
      <c r="V118" s="14"/>
      <c r="W118" s="122"/>
      <c r="X118" s="100" t="str">
        <f t="shared" si="6"/>
        <v>Espanyol</v>
      </c>
      <c r="Y118" s="122"/>
      <c r="Z118" s="122"/>
      <c r="AA118" s="125"/>
    </row>
    <row r="119" spans="2:27">
      <c r="B119" s="120"/>
      <c r="C119" s="120"/>
      <c r="D119" s="169">
        <f t="shared" si="5"/>
        <v>5</v>
      </c>
      <c r="E119" s="169" t="s">
        <v>192</v>
      </c>
      <c r="F119" s="104">
        <v>43797</v>
      </c>
      <c r="G119" s="26" t="s">
        <v>379</v>
      </c>
      <c r="H119" s="6"/>
      <c r="I119" s="14"/>
      <c r="J119" s="14" t="s">
        <v>4</v>
      </c>
      <c r="K119" s="14"/>
      <c r="L119" s="6"/>
      <c r="M119" s="34" t="s">
        <v>359</v>
      </c>
      <c r="N119" s="34" t="str">
        <f>VLOOKUP(G119,'Team Setup'!$B$5:$C$52,2,FALSE)</f>
        <v>De Kuip</v>
      </c>
      <c r="O119" s="125"/>
      <c r="P119" s="122"/>
      <c r="Q119" s="123"/>
      <c r="R119" s="130" t="s">
        <v>234</v>
      </c>
      <c r="S119" s="76" t="str">
        <f>S65</f>
        <v>KAA Gent</v>
      </c>
      <c r="T119" s="131" t="str">
        <f>VLOOKUP(S119,'Team Setup'!$B$5:$D$52,3,FALSE)</f>
        <v>Belgium</v>
      </c>
      <c r="U119" s="122"/>
      <c r="V119" s="14"/>
      <c r="W119" s="122"/>
      <c r="X119" s="100" t="str">
        <f t="shared" si="6"/>
        <v>KAA Gent</v>
      </c>
      <c r="Y119" s="122"/>
      <c r="Z119" s="122"/>
      <c r="AA119" s="125"/>
    </row>
    <row r="120" spans="2:27">
      <c r="B120" s="120"/>
      <c r="C120" s="120"/>
      <c r="D120" s="169">
        <f t="shared" si="5"/>
        <v>5</v>
      </c>
      <c r="E120" s="169" t="s">
        <v>193</v>
      </c>
      <c r="F120" s="104">
        <v>43797</v>
      </c>
      <c r="G120" s="26" t="s">
        <v>380</v>
      </c>
      <c r="H120" s="6"/>
      <c r="I120" s="14"/>
      <c r="J120" s="14" t="s">
        <v>4</v>
      </c>
      <c r="K120" s="14"/>
      <c r="L120" s="6"/>
      <c r="M120" s="34" t="s">
        <v>360</v>
      </c>
      <c r="N120" s="34" t="str">
        <f>VLOOKUP(G120,'Team Setup'!$B$5:$C$52,2,FALSE)</f>
        <v>VEB Arena</v>
      </c>
      <c r="O120" s="125"/>
      <c r="P120" s="122"/>
      <c r="Q120" s="123"/>
      <c r="R120" s="130" t="s">
        <v>235</v>
      </c>
      <c r="S120" s="76" t="str">
        <f>S72</f>
        <v>İstanbul Başakşehir F.K.</v>
      </c>
      <c r="T120" s="131" t="str">
        <f>VLOOKUP(S120,'Team Setup'!$B$5:$D$52,3,FALSE)</f>
        <v>Turkey</v>
      </c>
      <c r="U120" s="122"/>
      <c r="V120" s="14"/>
      <c r="W120" s="122"/>
      <c r="X120" s="100" t="str">
        <f t="shared" si="6"/>
        <v>İstanbul Başakşehir F.K.</v>
      </c>
      <c r="Y120" s="122"/>
      <c r="Z120" s="122"/>
      <c r="AA120" s="125"/>
    </row>
    <row r="121" spans="2:27">
      <c r="B121" s="120"/>
      <c r="C121" s="120"/>
      <c r="D121" s="169">
        <f t="shared" si="5"/>
        <v>5</v>
      </c>
      <c r="E121" s="169" t="s">
        <v>193</v>
      </c>
      <c r="F121" s="104">
        <v>43797</v>
      </c>
      <c r="G121" s="26" t="s">
        <v>381</v>
      </c>
      <c r="H121" s="6"/>
      <c r="I121" s="14"/>
      <c r="J121" s="14" t="s">
        <v>4</v>
      </c>
      <c r="K121" s="14"/>
      <c r="L121" s="6"/>
      <c r="M121" s="34" t="s">
        <v>436</v>
      </c>
      <c r="N121" s="34" t="str">
        <f>VLOOKUP(G121,'Team Setup'!$B$5:$C$52,2,FALSE)</f>
        <v>Groupama Arena</v>
      </c>
      <c r="O121" s="125"/>
      <c r="P121" s="122"/>
      <c r="Q121" s="123"/>
      <c r="R121" s="130" t="s">
        <v>236</v>
      </c>
      <c r="S121" s="76" t="str">
        <f>S79</f>
        <v>Sporting Braga</v>
      </c>
      <c r="T121" s="131" t="str">
        <f>VLOOKUP(S121,'Team Setup'!$B$5:$D$52,3,FALSE)</f>
        <v>Portugal</v>
      </c>
      <c r="U121" s="122"/>
      <c r="V121" s="14"/>
      <c r="W121" s="122"/>
      <c r="X121" s="100" t="str">
        <f t="shared" si="6"/>
        <v>Sporting Braga</v>
      </c>
      <c r="Y121" s="122"/>
      <c r="Z121" s="122"/>
      <c r="AA121" s="125"/>
    </row>
    <row r="122" spans="2:27">
      <c r="B122" s="120"/>
      <c r="C122" s="120"/>
      <c r="D122" s="169">
        <f t="shared" si="5"/>
        <v>5</v>
      </c>
      <c r="E122" s="169" t="s">
        <v>234</v>
      </c>
      <c r="F122" s="104">
        <v>43797</v>
      </c>
      <c r="G122" s="26" t="s">
        <v>382</v>
      </c>
      <c r="H122" s="6"/>
      <c r="I122" s="14"/>
      <c r="J122" s="14" t="s">
        <v>4</v>
      </c>
      <c r="K122" s="14"/>
      <c r="L122" s="6"/>
      <c r="M122" s="34" t="s">
        <v>361</v>
      </c>
      <c r="N122" s="34" t="str">
        <f>VLOOKUP(G122,'Team Setup'!$B$5:$C$52,2,FALSE)</f>
        <v>Stade Geoffroy-Guichard</v>
      </c>
      <c r="O122" s="125"/>
      <c r="P122" s="122"/>
      <c r="Q122" s="123"/>
      <c r="R122" s="130" t="s">
        <v>9</v>
      </c>
      <c r="S122" s="76" t="str">
        <f>S86</f>
        <v>Manchester United</v>
      </c>
      <c r="T122" s="131" t="str">
        <f>VLOOKUP(S122,'Team Setup'!$B$5:$D$52,3,FALSE)</f>
        <v>England</v>
      </c>
      <c r="U122" s="122"/>
      <c r="V122" s="14"/>
      <c r="W122" s="122"/>
      <c r="X122" s="100" t="str">
        <f t="shared" si="6"/>
        <v>Manchester United</v>
      </c>
      <c r="Y122" s="122"/>
      <c r="Z122" s="122"/>
      <c r="AA122" s="125"/>
    </row>
    <row r="123" spans="2:27">
      <c r="B123" s="120"/>
      <c r="C123" s="120"/>
      <c r="D123" s="169">
        <f t="shared" si="5"/>
        <v>5</v>
      </c>
      <c r="E123" s="169" t="s">
        <v>234</v>
      </c>
      <c r="F123" s="104">
        <v>43797</v>
      </c>
      <c r="G123" s="26" t="s">
        <v>383</v>
      </c>
      <c r="H123" s="6"/>
      <c r="I123" s="14"/>
      <c r="J123" s="14" t="s">
        <v>4</v>
      </c>
      <c r="K123" s="14"/>
      <c r="L123" s="6"/>
      <c r="M123" s="34" t="s">
        <v>362</v>
      </c>
      <c r="N123" s="34" t="str">
        <f>VLOOKUP(G123,'Team Setup'!$B$5:$C$52,2,FALSE)</f>
        <v>Arena Lviv</v>
      </c>
      <c r="O123" s="125"/>
      <c r="P123" s="122"/>
      <c r="Q123" s="123"/>
      <c r="W123" s="122"/>
      <c r="X123" s="100"/>
      <c r="Y123" s="122"/>
      <c r="Z123" s="122"/>
      <c r="AA123" s="125"/>
    </row>
    <row r="124" spans="2:27">
      <c r="B124" s="120"/>
      <c r="C124" s="120"/>
      <c r="D124" s="169">
        <f t="shared" si="5"/>
        <v>5</v>
      </c>
      <c r="E124" s="169" t="s">
        <v>235</v>
      </c>
      <c r="F124" s="104">
        <v>43797</v>
      </c>
      <c r="G124" s="26" t="s">
        <v>385</v>
      </c>
      <c r="H124" s="6"/>
      <c r="I124" s="14"/>
      <c r="J124" s="14" t="s">
        <v>4</v>
      </c>
      <c r="K124" s="14"/>
      <c r="L124" s="6"/>
      <c r="M124" s="34" t="s">
        <v>363</v>
      </c>
      <c r="N124" s="34" t="str">
        <f>VLOOKUP(G124,'Team Setup'!$B$5:$C$52,2,FALSE)</f>
        <v>Başakşehir Fatih Terim Stadium</v>
      </c>
      <c r="O124" s="125"/>
      <c r="P124" s="122"/>
      <c r="Q124" s="123"/>
      <c r="R124" s="179" t="s">
        <v>249</v>
      </c>
      <c r="W124" s="122"/>
      <c r="X124" s="100"/>
      <c r="Y124" s="122"/>
      <c r="Z124" s="122"/>
      <c r="AA124" s="125"/>
    </row>
    <row r="125" spans="2:27">
      <c r="B125" s="120"/>
      <c r="C125" s="120"/>
      <c r="D125" s="169">
        <f t="shared" si="5"/>
        <v>5</v>
      </c>
      <c r="E125" s="169" t="s">
        <v>235</v>
      </c>
      <c r="F125" s="104">
        <v>43797</v>
      </c>
      <c r="G125" s="26" t="s">
        <v>384</v>
      </c>
      <c r="H125" s="6"/>
      <c r="I125" s="14"/>
      <c r="J125" s="14" t="s">
        <v>4</v>
      </c>
      <c r="K125" s="14"/>
      <c r="L125" s="6"/>
      <c r="M125" s="34" t="s">
        <v>364</v>
      </c>
      <c r="N125" s="34" t="str">
        <f>VLOOKUP(G125,'Team Setup'!$B$5:$C$52,2,FALSE)</f>
        <v>Liebenauer Stadium</v>
      </c>
      <c r="O125" s="125"/>
      <c r="P125" s="122"/>
      <c r="Q125" s="123"/>
      <c r="R125" s="77" t="s">
        <v>219</v>
      </c>
      <c r="S125" s="76" t="str">
        <f>IF('Team Setup'!B56&lt;&gt;"",'Team Setup'!B56,"")</f>
        <v>Team 1</v>
      </c>
      <c r="T125" s="131" t="str">
        <f>VLOOKUP(S125,'Team Setup'!$B$56:$D$63,3,FALSE)</f>
        <v>Country 1</v>
      </c>
      <c r="V125" s="14"/>
      <c r="W125" s="122"/>
      <c r="X125" s="100" t="str">
        <f t="shared" ref="X125:X128" si="7">S125</f>
        <v>Team 1</v>
      </c>
      <c r="Y125" s="122"/>
      <c r="Z125" s="122"/>
      <c r="AA125" s="125"/>
    </row>
    <row r="126" spans="2:27">
      <c r="B126" s="120"/>
      <c r="C126" s="120"/>
      <c r="D126" s="169">
        <f t="shared" si="5"/>
        <v>5</v>
      </c>
      <c r="E126" s="169" t="s">
        <v>236</v>
      </c>
      <c r="F126" s="104">
        <v>43797</v>
      </c>
      <c r="G126" s="26" t="s">
        <v>386</v>
      </c>
      <c r="H126" s="6"/>
      <c r="I126" s="14"/>
      <c r="J126" s="14" t="s">
        <v>4</v>
      </c>
      <c r="K126" s="14"/>
      <c r="L126" s="6"/>
      <c r="M126" s="34" t="s">
        <v>365</v>
      </c>
      <c r="N126" s="34" t="str">
        <f>VLOOKUP(G126,'Team Setup'!$B$5:$C$52,2,FALSE)</f>
        <v>Vodafone Park</v>
      </c>
      <c r="O126" s="125"/>
      <c r="P126" s="122"/>
      <c r="Q126" s="123"/>
      <c r="R126" s="77" t="s">
        <v>244</v>
      </c>
      <c r="S126" s="76" t="str">
        <f>IF('Team Setup'!B57&lt;&gt;"",'Team Setup'!B57,"")</f>
        <v>Team 2</v>
      </c>
      <c r="T126" s="131" t="str">
        <f>VLOOKUP(S126,'Team Setup'!$B$56:$D$63,3,FALSE)</f>
        <v>Country 2</v>
      </c>
      <c r="V126" s="14"/>
      <c r="W126" s="122"/>
      <c r="X126" s="100" t="str">
        <f t="shared" si="7"/>
        <v>Team 2</v>
      </c>
      <c r="Y126" s="122"/>
      <c r="Z126" s="122"/>
      <c r="AA126" s="125"/>
    </row>
    <row r="127" spans="2:27">
      <c r="B127" s="120"/>
      <c r="C127" s="120"/>
      <c r="D127" s="169">
        <f t="shared" si="5"/>
        <v>5</v>
      </c>
      <c r="E127" s="169" t="s">
        <v>236</v>
      </c>
      <c r="F127" s="104">
        <v>43797</v>
      </c>
      <c r="G127" s="26" t="s">
        <v>387</v>
      </c>
      <c r="H127" s="6"/>
      <c r="I127" s="14"/>
      <c r="J127" s="14" t="s">
        <v>4</v>
      </c>
      <c r="K127" s="14"/>
      <c r="L127" s="6"/>
      <c r="M127" s="34" t="s">
        <v>366</v>
      </c>
      <c r="N127" s="34" t="str">
        <f>VLOOKUP(G127,'Team Setup'!$B$5:$C$52,2,FALSE)</f>
        <v>Estadio Municipal</v>
      </c>
      <c r="O127" s="125"/>
      <c r="P127" s="122"/>
      <c r="Q127" s="123"/>
      <c r="R127" s="77" t="s">
        <v>245</v>
      </c>
      <c r="S127" s="76" t="str">
        <f>IF('Team Setup'!B58&lt;&gt;"",'Team Setup'!B58,"")</f>
        <v>Team 3</v>
      </c>
      <c r="T127" s="131" t="str">
        <f>VLOOKUP(S127,'Team Setup'!$B$56:$D$63,3,FALSE)</f>
        <v>Country 3</v>
      </c>
      <c r="V127" s="14"/>
      <c r="W127" s="122"/>
      <c r="X127" s="100" t="str">
        <f t="shared" si="7"/>
        <v>Team 3</v>
      </c>
      <c r="Y127" s="122"/>
      <c r="Z127" s="122"/>
      <c r="AA127" s="125"/>
    </row>
    <row r="128" spans="2:27">
      <c r="B128" s="120"/>
      <c r="C128" s="120"/>
      <c r="D128" s="169">
        <f t="shared" si="5"/>
        <v>5</v>
      </c>
      <c r="E128" s="169" t="s">
        <v>9</v>
      </c>
      <c r="F128" s="104">
        <v>43797</v>
      </c>
      <c r="G128" s="26" t="s">
        <v>388</v>
      </c>
      <c r="H128" s="6"/>
      <c r="I128" s="14"/>
      <c r="J128" s="14" t="s">
        <v>4</v>
      </c>
      <c r="K128" s="14"/>
      <c r="L128" s="6"/>
      <c r="M128" s="34" t="s">
        <v>368</v>
      </c>
      <c r="N128" s="34" t="str">
        <f>VLOOKUP(G128,'Team Setup'!$B$5:$C$52,2,FALSE)</f>
        <v>Astana Arena</v>
      </c>
      <c r="O128" s="125"/>
      <c r="P128" s="122"/>
      <c r="Q128" s="123"/>
      <c r="R128" s="77" t="s">
        <v>53</v>
      </c>
      <c r="S128" s="76" t="str">
        <f>IF('Team Setup'!B59&lt;&gt;"",'Team Setup'!B59,"")</f>
        <v>Team 4</v>
      </c>
      <c r="T128" s="131" t="str">
        <f>VLOOKUP(S128,'Team Setup'!$B$56:$D$63,3,FALSE)</f>
        <v>Country 4</v>
      </c>
      <c r="V128" s="14"/>
      <c r="W128" s="122"/>
      <c r="X128" s="100" t="str">
        <f t="shared" si="7"/>
        <v>Team 4</v>
      </c>
      <c r="Y128" s="122"/>
      <c r="Z128" s="122"/>
      <c r="AA128" s="125"/>
    </row>
    <row r="129" spans="2:27">
      <c r="B129" s="120"/>
      <c r="C129" s="120"/>
      <c r="D129" s="169">
        <f t="shared" si="5"/>
        <v>5</v>
      </c>
      <c r="E129" s="169" t="s">
        <v>9</v>
      </c>
      <c r="F129" s="104">
        <v>43797</v>
      </c>
      <c r="G129" s="26" t="s">
        <v>389</v>
      </c>
      <c r="H129" s="6"/>
      <c r="I129" s="14"/>
      <c r="J129" s="14" t="s">
        <v>4</v>
      </c>
      <c r="K129" s="14"/>
      <c r="L129" s="6"/>
      <c r="M129" s="34" t="s">
        <v>367</v>
      </c>
      <c r="N129" s="34" t="str">
        <f>VLOOKUP(G129,'Team Setup'!$B$5:$C$52,2,FALSE)</f>
        <v>Cars Jeans Stadion</v>
      </c>
      <c r="O129" s="125"/>
      <c r="P129" s="122"/>
      <c r="Q129" s="123"/>
      <c r="Y129" s="122"/>
      <c r="Z129" s="122"/>
      <c r="AA129" s="125"/>
    </row>
    <row r="130" spans="2:27">
      <c r="B130" s="120"/>
      <c r="C130" s="120"/>
      <c r="D130" s="169">
        <f t="shared" si="5"/>
        <v>6</v>
      </c>
      <c r="E130" s="169" t="s">
        <v>15</v>
      </c>
      <c r="F130" s="104">
        <v>43811</v>
      </c>
      <c r="G130" s="26" t="s">
        <v>347</v>
      </c>
      <c r="H130" s="6"/>
      <c r="I130" s="14"/>
      <c r="J130" s="14" t="s">
        <v>4</v>
      </c>
      <c r="K130" s="14"/>
      <c r="L130" s="6"/>
      <c r="M130" s="34" t="s">
        <v>369</v>
      </c>
      <c r="N130" s="34" t="str">
        <f>VLOOKUP(G130,'Team Setup'!$B$5:$C$52,2,FALSE)</f>
        <v>Stadion GSP</v>
      </c>
      <c r="O130" s="125"/>
      <c r="P130" s="122"/>
      <c r="Q130" s="123"/>
      <c r="R130" s="133" t="s">
        <v>247</v>
      </c>
      <c r="T130" s="122"/>
      <c r="U130" s="122"/>
      <c r="V130" s="130"/>
      <c r="W130" s="122"/>
      <c r="X130" s="122"/>
      <c r="Y130" s="122"/>
      <c r="Z130" s="122"/>
      <c r="AA130" s="125"/>
    </row>
    <row r="131" spans="2:27">
      <c r="B131" s="120"/>
      <c r="C131" s="120"/>
      <c r="D131" s="169">
        <f t="shared" si="5"/>
        <v>6</v>
      </c>
      <c r="E131" s="169" t="s">
        <v>15</v>
      </c>
      <c r="F131" s="104">
        <v>43811</v>
      </c>
      <c r="G131" s="26" t="s">
        <v>348</v>
      </c>
      <c r="H131" s="6"/>
      <c r="I131" s="14"/>
      <c r="J131" s="14" t="s">
        <v>4</v>
      </c>
      <c r="K131" s="14"/>
      <c r="L131" s="6"/>
      <c r="M131" s="34" t="s">
        <v>332</v>
      </c>
      <c r="N131" s="34" t="str">
        <f>VLOOKUP(G131,'Team Setup'!$B$5:$C$52,2,FALSE)</f>
        <v>Tofiq Bahramov Republican Stadium</v>
      </c>
      <c r="O131" s="125"/>
      <c r="P131" s="122"/>
      <c r="Q131" s="123"/>
      <c r="R131" s="130" t="s">
        <v>15</v>
      </c>
      <c r="S131" s="131" t="str">
        <f>S10</f>
        <v>APOEL Nikosia</v>
      </c>
      <c r="T131" s="131" t="str">
        <f>VLOOKUP(S131,'Team Setup'!$B$5:$D$52,3,FALSE)</f>
        <v>Cyprus</v>
      </c>
      <c r="U131" s="122"/>
      <c r="V131" s="14"/>
      <c r="W131" s="122"/>
      <c r="X131" s="100" t="str">
        <f t="shared" ref="X131:X142" si="8">S131</f>
        <v>APOEL Nikosia</v>
      </c>
      <c r="Y131" s="122"/>
      <c r="Z131" s="122"/>
      <c r="AA131" s="125"/>
    </row>
    <row r="132" spans="2:27">
      <c r="B132" s="120"/>
      <c r="C132" s="120"/>
      <c r="D132" s="169">
        <f t="shared" si="5"/>
        <v>6</v>
      </c>
      <c r="E132" s="169" t="s">
        <v>189</v>
      </c>
      <c r="F132" s="104">
        <v>43811</v>
      </c>
      <c r="G132" s="26" t="s">
        <v>349</v>
      </c>
      <c r="H132" s="6"/>
      <c r="I132" s="14"/>
      <c r="J132" s="14" t="s">
        <v>4</v>
      </c>
      <c r="K132" s="14"/>
      <c r="L132" s="6"/>
      <c r="M132" s="34" t="s">
        <v>370</v>
      </c>
      <c r="N132" s="34" t="str">
        <f>VLOOKUP(G132,'Team Setup'!$B$5:$C$52,2,FALSE)</f>
        <v>NSC Olimpiyskiy Stadium</v>
      </c>
      <c r="O132" s="125"/>
      <c r="P132" s="122"/>
      <c r="Q132" s="123"/>
      <c r="R132" s="130" t="s">
        <v>189</v>
      </c>
      <c r="S132" s="131" t="str">
        <f>S17</f>
        <v>FC København</v>
      </c>
      <c r="T132" s="131" t="str">
        <f>VLOOKUP(S132,'Team Setup'!$B$5:$D$52,3,FALSE)</f>
        <v>Denmark</v>
      </c>
      <c r="U132" s="122"/>
      <c r="V132" s="14"/>
      <c r="W132" s="122"/>
      <c r="X132" s="100" t="str">
        <f t="shared" si="8"/>
        <v>FC København</v>
      </c>
      <c r="Y132" s="122"/>
      <c r="Z132" s="122"/>
      <c r="AA132" s="125"/>
    </row>
    <row r="133" spans="2:27">
      <c r="B133" s="120"/>
      <c r="C133" s="120"/>
      <c r="D133" s="169">
        <f t="shared" si="5"/>
        <v>6</v>
      </c>
      <c r="E133" s="169" t="s">
        <v>189</v>
      </c>
      <c r="F133" s="104">
        <v>43811</v>
      </c>
      <c r="G133" s="26" t="s">
        <v>350</v>
      </c>
      <c r="H133" s="6"/>
      <c r="I133" s="14"/>
      <c r="J133" s="14" t="s">
        <v>4</v>
      </c>
      <c r="K133" s="14"/>
      <c r="L133" s="6"/>
      <c r="M133" s="34" t="s">
        <v>371</v>
      </c>
      <c r="N133" s="34" t="str">
        <f>VLOOKUP(G133,'Team Setup'!$B$5:$C$52,2,FALSE)</f>
        <v>Parken Stadium</v>
      </c>
      <c r="O133" s="125"/>
      <c r="P133" s="122"/>
      <c r="Q133" s="123"/>
      <c r="R133" s="130" t="s">
        <v>190</v>
      </c>
      <c r="S133" s="131" t="str">
        <f>S24</f>
        <v>Getafe CF</v>
      </c>
      <c r="T133" s="131" t="str">
        <f>VLOOKUP(S133,'Team Setup'!$B$5:$D$52,3,FALSE)</f>
        <v>Spain</v>
      </c>
      <c r="U133" s="122"/>
      <c r="V133" s="14"/>
      <c r="W133" s="122"/>
      <c r="X133" s="100" t="str">
        <f t="shared" si="8"/>
        <v>Getafe CF</v>
      </c>
      <c r="Y133" s="122"/>
      <c r="Z133" s="122"/>
      <c r="AA133" s="125"/>
    </row>
    <row r="134" spans="2:27">
      <c r="B134" s="120"/>
      <c r="C134" s="120"/>
      <c r="D134" s="169">
        <f t="shared" si="5"/>
        <v>6</v>
      </c>
      <c r="E134" s="169" t="s">
        <v>190</v>
      </c>
      <c r="F134" s="104">
        <v>43811</v>
      </c>
      <c r="G134" s="26" t="s">
        <v>351</v>
      </c>
      <c r="H134" s="6"/>
      <c r="I134" s="14"/>
      <c r="J134" s="14" t="s">
        <v>4</v>
      </c>
      <c r="K134" s="14"/>
      <c r="L134" s="6"/>
      <c r="M134" s="34" t="s">
        <v>372</v>
      </c>
      <c r="N134" s="34" t="str">
        <f>VLOOKUP(G134,'Team Setup'!$B$5:$C$52,2,FALSE)</f>
        <v>St, jakob-Park</v>
      </c>
      <c r="O134" s="125"/>
      <c r="P134" s="122"/>
      <c r="Q134" s="123"/>
      <c r="R134" s="130" t="s">
        <v>8</v>
      </c>
      <c r="S134" s="131" t="str">
        <f>S31</f>
        <v>LASK</v>
      </c>
      <c r="T134" s="131" t="str">
        <f>VLOOKUP(S134,'Team Setup'!$B$5:$D$52,3,FALSE)</f>
        <v>Austria</v>
      </c>
      <c r="U134" s="122"/>
      <c r="V134" s="14"/>
      <c r="W134" s="122"/>
      <c r="X134" s="100" t="str">
        <f t="shared" si="8"/>
        <v>LASK</v>
      </c>
      <c r="Y134" s="122"/>
      <c r="Z134" s="122"/>
      <c r="AA134" s="125"/>
    </row>
    <row r="135" spans="2:27">
      <c r="B135" s="120"/>
      <c r="C135" s="120"/>
      <c r="D135" s="169">
        <f t="shared" si="5"/>
        <v>6</v>
      </c>
      <c r="E135" s="169" t="s">
        <v>190</v>
      </c>
      <c r="F135" s="104">
        <v>43811</v>
      </c>
      <c r="G135" s="26" t="s">
        <v>352</v>
      </c>
      <c r="H135" s="6"/>
      <c r="I135" s="14"/>
      <c r="J135" s="14" t="s">
        <v>4</v>
      </c>
      <c r="K135" s="14"/>
      <c r="L135" s="6"/>
      <c r="M135" s="34" t="s">
        <v>373</v>
      </c>
      <c r="N135" s="34" t="str">
        <f>VLOOKUP(G135,'Team Setup'!$B$5:$C$52,2,FALSE)</f>
        <v>Coliseum Alfonso Perez</v>
      </c>
      <c r="O135" s="125"/>
      <c r="P135" s="122"/>
      <c r="Q135" s="123"/>
      <c r="R135" s="130" t="s">
        <v>191</v>
      </c>
      <c r="S135" s="76" t="str">
        <f>S38</f>
        <v>CFR Cluj</v>
      </c>
      <c r="T135" s="131" t="str">
        <f>VLOOKUP(S135,'Team Setup'!$B$5:$D$52,3,FALSE)</f>
        <v>Romania</v>
      </c>
      <c r="U135" s="122"/>
      <c r="V135" s="14"/>
      <c r="W135" s="122"/>
      <c r="X135" s="100" t="str">
        <f t="shared" si="8"/>
        <v>CFR Cluj</v>
      </c>
      <c r="Y135" s="122"/>
      <c r="Z135" s="122"/>
      <c r="AA135" s="125"/>
    </row>
    <row r="136" spans="2:27">
      <c r="B136" s="120"/>
      <c r="C136" s="120"/>
      <c r="D136" s="169">
        <f t="shared" si="5"/>
        <v>6</v>
      </c>
      <c r="E136" s="169" t="s">
        <v>8</v>
      </c>
      <c r="F136" s="104">
        <v>43811</v>
      </c>
      <c r="G136" s="26" t="s">
        <v>353</v>
      </c>
      <c r="H136" s="6"/>
      <c r="I136" s="14"/>
      <c r="J136" s="14" t="s">
        <v>4</v>
      </c>
      <c r="K136" s="14"/>
      <c r="L136" s="6"/>
      <c r="M136" s="34" t="s">
        <v>331</v>
      </c>
      <c r="N136" s="34" t="str">
        <f>VLOOKUP(G136,'Team Setup'!$B$5:$C$52,2,FALSE)</f>
        <v>Linzer Stadion</v>
      </c>
      <c r="O136" s="125"/>
      <c r="P136" s="122"/>
      <c r="Q136" s="123"/>
      <c r="R136" s="130" t="s">
        <v>14</v>
      </c>
      <c r="S136" s="76" t="str">
        <f>S45</f>
        <v>Eintracht Frankfurt</v>
      </c>
      <c r="T136" s="131" t="str">
        <f>VLOOKUP(S136,'Team Setup'!$B$5:$D$52,3,FALSE)</f>
        <v>Germany</v>
      </c>
      <c r="U136" s="122"/>
      <c r="V136" s="14"/>
      <c r="W136" s="176"/>
      <c r="X136" s="100" t="str">
        <f t="shared" si="8"/>
        <v>Eintracht Frankfurt</v>
      </c>
      <c r="Y136" s="194"/>
      <c r="Z136" s="194"/>
      <c r="AA136" s="125"/>
    </row>
    <row r="137" spans="2:27">
      <c r="B137" s="120"/>
      <c r="C137" s="120"/>
      <c r="D137" s="169">
        <f t="shared" si="5"/>
        <v>6</v>
      </c>
      <c r="E137" s="169" t="s">
        <v>8</v>
      </c>
      <c r="F137" s="104">
        <v>43811</v>
      </c>
      <c r="G137" s="26" t="s">
        <v>354</v>
      </c>
      <c r="H137" s="6"/>
      <c r="I137" s="14"/>
      <c r="J137" s="14" t="s">
        <v>4</v>
      </c>
      <c r="K137" s="14"/>
      <c r="L137" s="6"/>
      <c r="M137" s="34" t="s">
        <v>374</v>
      </c>
      <c r="N137" s="34" t="str">
        <f>VLOOKUP(G137,'Team Setup'!$B$5:$C$52,2,FALSE)</f>
        <v>Philips Stadion</v>
      </c>
      <c r="O137" s="125"/>
      <c r="P137" s="122"/>
      <c r="Q137" s="123"/>
      <c r="R137" s="130" t="s">
        <v>192</v>
      </c>
      <c r="S137" s="76" t="str">
        <f>S52</f>
        <v>Rangers FC</v>
      </c>
      <c r="T137" s="131" t="str">
        <f>VLOOKUP(S137,'Team Setup'!$B$5:$D$52,3,FALSE)</f>
        <v>Scotland</v>
      </c>
      <c r="U137" s="122"/>
      <c r="V137" s="14"/>
      <c r="X137" s="100" t="str">
        <f t="shared" si="8"/>
        <v>Rangers FC</v>
      </c>
      <c r="Y137" s="122"/>
      <c r="Z137" s="122"/>
      <c r="AA137" s="125"/>
    </row>
    <row r="138" spans="2:27">
      <c r="B138" s="120"/>
      <c r="C138" s="120"/>
      <c r="D138" s="169">
        <f t="shared" si="5"/>
        <v>6</v>
      </c>
      <c r="E138" s="169" t="s">
        <v>191</v>
      </c>
      <c r="F138" s="104">
        <v>43811</v>
      </c>
      <c r="G138" s="26" t="s">
        <v>356</v>
      </c>
      <c r="H138" s="6"/>
      <c r="I138" s="14"/>
      <c r="J138" s="14" t="s">
        <v>4</v>
      </c>
      <c r="K138" s="14"/>
      <c r="L138" s="6"/>
      <c r="M138" s="34" t="s">
        <v>375</v>
      </c>
      <c r="N138" s="34" t="str">
        <f>VLOOKUP(G138,'Team Setup'!$B$5:$C$52,2,FALSE)</f>
        <v>Stadionul Dr. Constantin Rădulescu</v>
      </c>
      <c r="O138" s="125"/>
      <c r="P138" s="122"/>
      <c r="Q138" s="123"/>
      <c r="R138" s="130" t="s">
        <v>193</v>
      </c>
      <c r="S138" s="76" t="str">
        <f>S59</f>
        <v>PFC Ludogorets Razgrad</v>
      </c>
      <c r="T138" s="131" t="str">
        <f>VLOOKUP(S138,'Team Setup'!$B$5:$D$52,3,FALSE)</f>
        <v>Bulgaria</v>
      </c>
      <c r="U138" s="122"/>
      <c r="V138" s="14"/>
      <c r="X138" s="100" t="str">
        <f t="shared" si="8"/>
        <v>PFC Ludogorets Razgrad</v>
      </c>
      <c r="Y138" s="122"/>
      <c r="Z138" s="122"/>
      <c r="AA138" s="125"/>
    </row>
    <row r="139" spans="2:27">
      <c r="B139" s="120"/>
      <c r="C139" s="120"/>
      <c r="D139" s="169">
        <f t="shared" si="5"/>
        <v>6</v>
      </c>
      <c r="E139" s="169" t="s">
        <v>191</v>
      </c>
      <c r="F139" s="104">
        <v>43811</v>
      </c>
      <c r="G139" s="26" t="s">
        <v>355</v>
      </c>
      <c r="H139" s="6"/>
      <c r="I139" s="14"/>
      <c r="J139" s="14" t="s">
        <v>4</v>
      </c>
      <c r="K139" s="14"/>
      <c r="L139" s="6"/>
      <c r="M139" s="34" t="s">
        <v>239</v>
      </c>
      <c r="N139" s="34" t="str">
        <f>VLOOKUP(G139,'Team Setup'!$B$5:$C$52,2,FALSE)</f>
        <v>Roazhon Park</v>
      </c>
      <c r="O139" s="125"/>
      <c r="P139" s="122"/>
      <c r="Q139" s="123"/>
      <c r="R139" s="130" t="s">
        <v>234</v>
      </c>
      <c r="S139" s="76" t="str">
        <f>S66</f>
        <v>VfL Wolfsburg</v>
      </c>
      <c r="T139" s="131" t="str">
        <f>VLOOKUP(S139,'Team Setup'!$B$5:$D$52,3,FALSE)</f>
        <v>Germany</v>
      </c>
      <c r="U139" s="122"/>
      <c r="V139" s="14"/>
      <c r="X139" s="100" t="str">
        <f t="shared" si="8"/>
        <v>VfL Wolfsburg</v>
      </c>
      <c r="Y139" s="122"/>
      <c r="Z139" s="122"/>
      <c r="AA139" s="125"/>
    </row>
    <row r="140" spans="2:27">
      <c r="B140" s="120"/>
      <c r="C140" s="120"/>
      <c r="D140" s="169">
        <f t="shared" si="5"/>
        <v>6</v>
      </c>
      <c r="E140" s="169" t="s">
        <v>14</v>
      </c>
      <c r="F140" s="104">
        <v>43811</v>
      </c>
      <c r="G140" s="26" t="s">
        <v>357</v>
      </c>
      <c r="H140" s="6"/>
      <c r="I140" s="14"/>
      <c r="J140" s="14" t="s">
        <v>4</v>
      </c>
      <c r="K140" s="14"/>
      <c r="L140" s="6"/>
      <c r="M140" s="34" t="s">
        <v>376</v>
      </c>
      <c r="N140" s="34" t="str">
        <f>VLOOKUP(G140,'Team Setup'!$B$5:$C$52,2,FALSE)</f>
        <v>Stade Maurice Dufrasne</v>
      </c>
      <c r="O140" s="125"/>
      <c r="P140" s="122"/>
      <c r="Q140" s="123"/>
      <c r="R140" s="130" t="s">
        <v>235</v>
      </c>
      <c r="S140" s="76" t="str">
        <f>S73</f>
        <v>AS Roma</v>
      </c>
      <c r="T140" s="131" t="str">
        <f>VLOOKUP(S140,'Team Setup'!$B$5:$D$52,3,FALSE)</f>
        <v>Italy</v>
      </c>
      <c r="U140" s="122"/>
      <c r="V140" s="14"/>
      <c r="X140" s="100" t="str">
        <f t="shared" si="8"/>
        <v>AS Roma</v>
      </c>
      <c r="Y140" s="122"/>
      <c r="Z140" s="122"/>
      <c r="AA140" s="125"/>
    </row>
    <row r="141" spans="2:27">
      <c r="B141" s="120"/>
      <c r="C141" s="120"/>
      <c r="D141" s="169">
        <f t="shared" si="5"/>
        <v>6</v>
      </c>
      <c r="E141" s="169" t="s">
        <v>14</v>
      </c>
      <c r="F141" s="104">
        <v>43811</v>
      </c>
      <c r="G141" s="26" t="s">
        <v>333</v>
      </c>
      <c r="H141" s="6"/>
      <c r="I141" s="14"/>
      <c r="J141" s="14" t="s">
        <v>4</v>
      </c>
      <c r="K141" s="14"/>
      <c r="L141" s="6"/>
      <c r="M141" s="34" t="s">
        <v>377</v>
      </c>
      <c r="N141" s="34" t="str">
        <f>VLOOKUP(G141,'Team Setup'!$B$5:$C$52,2,FALSE)</f>
        <v>Waldstadion, Frankfurt am Main</v>
      </c>
      <c r="O141" s="125"/>
      <c r="P141" s="122"/>
      <c r="Q141" s="123"/>
      <c r="R141" s="130" t="s">
        <v>236</v>
      </c>
      <c r="S141" s="76" t="str">
        <f>S80</f>
        <v>Wolverhampton Wanderers</v>
      </c>
      <c r="T141" s="131" t="str">
        <f>VLOOKUP(S141,'Team Setup'!$B$5:$D$52,3,FALSE)</f>
        <v>England</v>
      </c>
      <c r="U141" s="122"/>
      <c r="V141" s="14"/>
      <c r="X141" s="100" t="str">
        <f t="shared" si="8"/>
        <v>Wolverhampton Wanderers</v>
      </c>
      <c r="Y141" s="122"/>
      <c r="Z141" s="122"/>
      <c r="AA141" s="125"/>
    </row>
    <row r="142" spans="2:27">
      <c r="B142" s="120"/>
      <c r="C142" s="120"/>
      <c r="D142" s="169">
        <f t="shared" si="5"/>
        <v>6</v>
      </c>
      <c r="E142" s="169" t="s">
        <v>192</v>
      </c>
      <c r="F142" s="104">
        <v>43811</v>
      </c>
      <c r="G142" s="26" t="s">
        <v>359</v>
      </c>
      <c r="H142" s="6"/>
      <c r="I142" s="14"/>
      <c r="J142" s="14" t="s">
        <v>4</v>
      </c>
      <c r="K142" s="14"/>
      <c r="L142" s="6"/>
      <c r="M142" s="34" t="s">
        <v>378</v>
      </c>
      <c r="N142" s="34" t="str">
        <f>VLOOKUP(G142,'Team Setup'!$B$5:$C$52,2,FALSE)</f>
        <v>Ibrox Stadium</v>
      </c>
      <c r="O142" s="125"/>
      <c r="P142" s="122"/>
      <c r="Q142" s="123"/>
      <c r="R142" s="130" t="s">
        <v>9</v>
      </c>
      <c r="S142" s="76" t="str">
        <f>S87</f>
        <v>AZ Alkmaar</v>
      </c>
      <c r="T142" s="131" t="str">
        <f>VLOOKUP(S142,'Team Setup'!$B$5:$D$52,3,FALSE)</f>
        <v>Netherlands</v>
      </c>
      <c r="U142" s="122"/>
      <c r="V142" s="14"/>
      <c r="X142" s="100" t="str">
        <f t="shared" si="8"/>
        <v>AZ Alkmaar</v>
      </c>
      <c r="Y142" s="122"/>
      <c r="Z142" s="122"/>
      <c r="AA142" s="125"/>
    </row>
    <row r="143" spans="2:27">
      <c r="B143" s="120"/>
      <c r="C143" s="120"/>
      <c r="D143" s="169">
        <f t="shared" si="5"/>
        <v>6</v>
      </c>
      <c r="E143" s="169" t="s">
        <v>192</v>
      </c>
      <c r="F143" s="104">
        <v>43811</v>
      </c>
      <c r="G143" s="26" t="s">
        <v>358</v>
      </c>
      <c r="H143" s="6"/>
      <c r="I143" s="14"/>
      <c r="J143" s="14" t="s">
        <v>4</v>
      </c>
      <c r="K143" s="14"/>
      <c r="L143" s="6"/>
      <c r="M143" s="34" t="s">
        <v>379</v>
      </c>
      <c r="N143" s="34" t="str">
        <f>VLOOKUP(G143,'Team Setup'!$B$5:$C$52,2,FALSE)</f>
        <v>Estádio do Dragão</v>
      </c>
      <c r="O143" s="125"/>
      <c r="P143" s="122"/>
      <c r="Q143" s="123"/>
      <c r="Y143" s="122"/>
      <c r="Z143" s="122"/>
      <c r="AA143" s="125"/>
    </row>
    <row r="144" spans="2:27">
      <c r="B144" s="120"/>
      <c r="C144" s="120"/>
      <c r="D144" s="169">
        <f t="shared" si="5"/>
        <v>6</v>
      </c>
      <c r="E144" s="169" t="s">
        <v>193</v>
      </c>
      <c r="F144" s="104">
        <v>43811</v>
      </c>
      <c r="G144" s="26" t="s">
        <v>436</v>
      </c>
      <c r="H144" s="6"/>
      <c r="I144" s="14"/>
      <c r="J144" s="14" t="s">
        <v>4</v>
      </c>
      <c r="K144" s="14"/>
      <c r="L144" s="6"/>
      <c r="M144" s="34" t="s">
        <v>380</v>
      </c>
      <c r="N144" s="34" t="str">
        <f>VLOOKUP(G144,'Team Setup'!$B$5:$C$52,2,FALSE)</f>
        <v>RCDE Stadium</v>
      </c>
      <c r="O144" s="125"/>
      <c r="P144" s="122"/>
      <c r="Q144" s="123"/>
      <c r="R144" s="133" t="s">
        <v>248</v>
      </c>
      <c r="S144" s="122"/>
      <c r="T144" s="122"/>
      <c r="U144" s="122"/>
      <c r="V144" s="122"/>
      <c r="W144" s="122"/>
      <c r="X144" s="122"/>
      <c r="Y144" s="122"/>
      <c r="Z144" s="122"/>
      <c r="AA144" s="125"/>
    </row>
    <row r="145" spans="2:27">
      <c r="B145" s="120"/>
      <c r="C145" s="120"/>
      <c r="D145" s="169">
        <f t="shared" si="5"/>
        <v>6</v>
      </c>
      <c r="E145" s="169" t="s">
        <v>193</v>
      </c>
      <c r="F145" s="104">
        <v>43811</v>
      </c>
      <c r="G145" s="26" t="s">
        <v>360</v>
      </c>
      <c r="H145" s="6"/>
      <c r="I145" s="14"/>
      <c r="J145" s="14" t="s">
        <v>4</v>
      </c>
      <c r="K145" s="14"/>
      <c r="L145" s="6"/>
      <c r="M145" s="34" t="s">
        <v>381</v>
      </c>
      <c r="N145" s="34" t="str">
        <f>VLOOKUP(G145,'Team Setup'!$B$5:$C$52,2,FALSE)</f>
        <v>Ludogorets Arena</v>
      </c>
      <c r="O145" s="125"/>
      <c r="P145" s="122"/>
      <c r="Q145" s="123"/>
      <c r="R145" s="130" t="s">
        <v>219</v>
      </c>
      <c r="S145" s="122" t="str">
        <f>IF('Team Setup'!B60&lt;&gt;"",'Team Setup'!B60,"")</f>
        <v>Team 5</v>
      </c>
      <c r="T145" s="131" t="str">
        <f>VLOOKUP(S145,'Team Setup'!$B$56:$D$63,3,FALSE)</f>
        <v>Country 5</v>
      </c>
      <c r="U145" s="122"/>
      <c r="V145" s="14"/>
      <c r="W145" s="122"/>
      <c r="X145" s="100" t="str">
        <f t="shared" ref="X145:X148" si="9">S145</f>
        <v>Team 5</v>
      </c>
      <c r="Y145" s="122"/>
      <c r="Z145" s="122"/>
      <c r="AA145" s="125"/>
    </row>
    <row r="146" spans="2:27">
      <c r="B146" s="120"/>
      <c r="C146" s="120"/>
      <c r="D146" s="169">
        <f t="shared" si="5"/>
        <v>6</v>
      </c>
      <c r="E146" s="169" t="s">
        <v>234</v>
      </c>
      <c r="F146" s="104">
        <v>43811</v>
      </c>
      <c r="G146" s="26" t="s">
        <v>362</v>
      </c>
      <c r="H146" s="6"/>
      <c r="I146" s="14"/>
      <c r="J146" s="14" t="s">
        <v>4</v>
      </c>
      <c r="K146" s="14"/>
      <c r="L146" s="6"/>
      <c r="M146" s="34" t="s">
        <v>382</v>
      </c>
      <c r="N146" s="34" t="str">
        <f>VLOOKUP(G146,'Team Setup'!$B$5:$C$52,2,FALSE)</f>
        <v>Volkswagen Area</v>
      </c>
      <c r="O146" s="125"/>
      <c r="P146" s="122"/>
      <c r="Q146" s="123"/>
      <c r="R146" s="130" t="s">
        <v>244</v>
      </c>
      <c r="S146" s="122" t="str">
        <f>IF('Team Setup'!B61&lt;&gt;"",'Team Setup'!B61,"")</f>
        <v>Team 6</v>
      </c>
      <c r="T146" s="131" t="str">
        <f>VLOOKUP(S146,'Team Setup'!$B$56:$D$63,3,FALSE)</f>
        <v>Country 6</v>
      </c>
      <c r="U146" s="122"/>
      <c r="V146" s="14"/>
      <c r="W146" s="122"/>
      <c r="X146" s="100" t="str">
        <f t="shared" si="9"/>
        <v>Team 6</v>
      </c>
      <c r="Y146" s="122"/>
      <c r="Z146" s="122"/>
      <c r="AA146" s="125"/>
    </row>
    <row r="147" spans="2:27">
      <c r="B147" s="120"/>
      <c r="C147" s="120"/>
      <c r="D147" s="169">
        <f t="shared" si="5"/>
        <v>6</v>
      </c>
      <c r="E147" s="169" t="s">
        <v>234</v>
      </c>
      <c r="F147" s="104">
        <v>43811</v>
      </c>
      <c r="G147" s="26" t="s">
        <v>361</v>
      </c>
      <c r="H147" s="6"/>
      <c r="I147" s="14"/>
      <c r="J147" s="14" t="s">
        <v>4</v>
      </c>
      <c r="K147" s="14"/>
      <c r="L147" s="6"/>
      <c r="M147" s="34" t="s">
        <v>383</v>
      </c>
      <c r="N147" s="34" t="str">
        <f>VLOOKUP(G147,'Team Setup'!$B$5:$C$52,2,FALSE)</f>
        <v>Ghelamco Arena</v>
      </c>
      <c r="O147" s="125"/>
      <c r="P147" s="122"/>
      <c r="Q147" s="123"/>
      <c r="R147" s="130" t="s">
        <v>245</v>
      </c>
      <c r="S147" s="122" t="str">
        <f>IF('Team Setup'!B62&lt;&gt;"",'Team Setup'!B62,"")</f>
        <v>Team 7</v>
      </c>
      <c r="T147" s="131" t="str">
        <f>VLOOKUP(S147,'Team Setup'!$B$56:$D$63,3,FALSE)</f>
        <v>Country 7</v>
      </c>
      <c r="U147" s="122"/>
      <c r="V147" s="14"/>
      <c r="W147" s="122"/>
      <c r="X147" s="100" t="str">
        <f t="shared" si="9"/>
        <v>Team 7</v>
      </c>
      <c r="Y147" s="122"/>
      <c r="Z147" s="122"/>
      <c r="AA147" s="125"/>
    </row>
    <row r="148" spans="2:27">
      <c r="B148" s="120"/>
      <c r="C148" s="120"/>
      <c r="D148" s="169">
        <f t="shared" si="5"/>
        <v>6</v>
      </c>
      <c r="E148" s="169" t="s">
        <v>235</v>
      </c>
      <c r="F148" s="104">
        <v>43811</v>
      </c>
      <c r="G148" s="26" t="s">
        <v>363</v>
      </c>
      <c r="H148" s="6"/>
      <c r="I148" s="14"/>
      <c r="J148" s="14" t="s">
        <v>4</v>
      </c>
      <c r="K148" s="14"/>
      <c r="L148" s="6"/>
      <c r="M148" s="34" t="s">
        <v>384</v>
      </c>
      <c r="N148" s="34" t="str">
        <f>VLOOKUP(G148,'Team Setup'!$B$5:$C$52,2,FALSE)</f>
        <v>Olimpico</v>
      </c>
      <c r="O148" s="125"/>
      <c r="P148" s="122"/>
      <c r="Q148" s="123"/>
      <c r="R148" s="130" t="s">
        <v>53</v>
      </c>
      <c r="S148" s="122" t="str">
        <f>IF('Team Setup'!B63&lt;&gt;"",'Team Setup'!B63,"")</f>
        <v>Team 8</v>
      </c>
      <c r="T148" s="131" t="str">
        <f>VLOOKUP(S148,'Team Setup'!$B$56:$D$63,3,FALSE)</f>
        <v>Country 8</v>
      </c>
      <c r="U148" s="122"/>
      <c r="V148" s="14"/>
      <c r="W148" s="122"/>
      <c r="X148" s="100" t="str">
        <f t="shared" si="9"/>
        <v>Team 8</v>
      </c>
      <c r="Y148" s="122"/>
      <c r="Z148" s="122"/>
      <c r="AA148" s="125"/>
    </row>
    <row r="149" spans="2:27">
      <c r="B149" s="120"/>
      <c r="C149" s="120"/>
      <c r="D149" s="169">
        <f t="shared" si="5"/>
        <v>6</v>
      </c>
      <c r="E149" s="169" t="s">
        <v>235</v>
      </c>
      <c r="F149" s="104">
        <v>43811</v>
      </c>
      <c r="G149" s="26" t="s">
        <v>364</v>
      </c>
      <c r="H149" s="6"/>
      <c r="I149" s="14"/>
      <c r="J149" s="14" t="s">
        <v>4</v>
      </c>
      <c r="K149" s="14"/>
      <c r="L149" s="6"/>
      <c r="M149" s="34" t="s">
        <v>385</v>
      </c>
      <c r="N149" s="34" t="str">
        <f>VLOOKUP(G149,'Team Setup'!$B$5:$C$52,2,FALSE)</f>
        <v>Borussia Park</v>
      </c>
      <c r="O149" s="125"/>
      <c r="P149" s="122"/>
      <c r="Q149" s="123"/>
      <c r="R149" s="132"/>
      <c r="S149" s="122"/>
      <c r="T149" s="122"/>
      <c r="U149" s="122"/>
      <c r="V149" s="122"/>
      <c r="W149" s="122"/>
      <c r="X149" s="122"/>
      <c r="Y149" s="122"/>
      <c r="Z149" s="122"/>
      <c r="AA149" s="125"/>
    </row>
    <row r="150" spans="2:27" ht="14.5" customHeight="1">
      <c r="B150" s="120"/>
      <c r="C150" s="120"/>
      <c r="D150" s="169">
        <f t="shared" si="5"/>
        <v>6</v>
      </c>
      <c r="E150" s="169" t="s">
        <v>236</v>
      </c>
      <c r="F150" s="104">
        <v>43811</v>
      </c>
      <c r="G150" s="26" t="s">
        <v>366</v>
      </c>
      <c r="H150" s="6"/>
      <c r="I150" s="14"/>
      <c r="J150" s="14" t="s">
        <v>4</v>
      </c>
      <c r="K150" s="14"/>
      <c r="L150" s="6"/>
      <c r="M150" s="34" t="s">
        <v>386</v>
      </c>
      <c r="N150" s="34" t="str">
        <f>VLOOKUP(G150,'Team Setup'!$B$5:$C$52,2,FALSE)</f>
        <v>Molineux Stadium</v>
      </c>
      <c r="O150" s="125"/>
      <c r="P150" s="122"/>
      <c r="Q150" s="123"/>
      <c r="R150" s="222" t="s">
        <v>328</v>
      </c>
      <c r="S150" s="222"/>
      <c r="T150" s="222"/>
      <c r="U150" s="222"/>
      <c r="V150" s="222"/>
      <c r="W150" s="222"/>
      <c r="X150" s="122"/>
      <c r="Y150" s="122"/>
      <c r="Z150" s="122"/>
      <c r="AA150" s="125"/>
    </row>
    <row r="151" spans="2:27">
      <c r="B151" s="120"/>
      <c r="C151" s="120"/>
      <c r="D151" s="169">
        <f t="shared" si="5"/>
        <v>6</v>
      </c>
      <c r="E151" s="169" t="s">
        <v>236</v>
      </c>
      <c r="F151" s="104">
        <v>43811</v>
      </c>
      <c r="G151" s="26" t="s">
        <v>365</v>
      </c>
      <c r="H151" s="6"/>
      <c r="I151" s="14"/>
      <c r="J151" s="14" t="s">
        <v>4</v>
      </c>
      <c r="K151" s="14"/>
      <c r="L151" s="6"/>
      <c r="M151" s="34" t="s">
        <v>387</v>
      </c>
      <c r="N151" s="34" t="str">
        <f>VLOOKUP(G151,'Team Setup'!$B$5:$C$52,2,FALSE)</f>
        <v>Tehelné pole</v>
      </c>
      <c r="O151" s="125"/>
      <c r="P151" s="122"/>
      <c r="Q151" s="123"/>
      <c r="R151" s="222"/>
      <c r="S151" s="222"/>
      <c r="T151" s="222"/>
      <c r="U151" s="222"/>
      <c r="V151" s="222"/>
      <c r="W151" s="222"/>
      <c r="X151" s="122"/>
      <c r="Y151" s="122"/>
      <c r="Z151" s="122"/>
      <c r="AA151" s="125"/>
    </row>
    <row r="152" spans="2:27">
      <c r="B152" s="120"/>
      <c r="C152" s="120"/>
      <c r="D152" s="169">
        <f t="shared" si="5"/>
        <v>6</v>
      </c>
      <c r="E152" s="169" t="s">
        <v>9</v>
      </c>
      <c r="F152" s="104">
        <v>43811</v>
      </c>
      <c r="G152" s="26" t="s">
        <v>368</v>
      </c>
      <c r="H152" s="6"/>
      <c r="I152" s="14"/>
      <c r="J152" s="14" t="s">
        <v>4</v>
      </c>
      <c r="K152" s="14"/>
      <c r="L152" s="6"/>
      <c r="M152" s="34" t="s">
        <v>389</v>
      </c>
      <c r="N152" s="34" t="str">
        <f>VLOOKUP(G152,'Team Setup'!$B$5:$C$52,2,FALSE)</f>
        <v>Old Trafford</v>
      </c>
      <c r="O152" s="125"/>
      <c r="P152" s="122"/>
      <c r="Q152" s="123"/>
      <c r="R152" s="222"/>
      <c r="S152" s="222"/>
      <c r="T152" s="222"/>
      <c r="U152" s="222"/>
      <c r="V152" s="222"/>
      <c r="W152" s="222"/>
      <c r="X152" s="122"/>
      <c r="Y152" s="122"/>
      <c r="Z152" s="122"/>
      <c r="AA152" s="125"/>
    </row>
    <row r="153" spans="2:27">
      <c r="B153" s="120"/>
      <c r="C153" s="120"/>
      <c r="D153" s="169">
        <f t="shared" si="5"/>
        <v>6</v>
      </c>
      <c r="E153" s="169" t="s">
        <v>9</v>
      </c>
      <c r="F153" s="104">
        <v>43811</v>
      </c>
      <c r="G153" s="26" t="s">
        <v>367</v>
      </c>
      <c r="H153" s="6"/>
      <c r="I153" s="14"/>
      <c r="J153" s="14" t="s">
        <v>4</v>
      </c>
      <c r="K153" s="14"/>
      <c r="L153" s="6"/>
      <c r="M153" s="34" t="s">
        <v>388</v>
      </c>
      <c r="N153" s="34" t="str">
        <f>VLOOKUP(G153,'Team Setup'!$B$5:$C$52,2,FALSE)</f>
        <v>Partizan Stadium</v>
      </c>
      <c r="O153" s="125"/>
      <c r="P153" s="122"/>
      <c r="Q153" s="123"/>
      <c r="R153" s="222"/>
      <c r="S153" s="222"/>
      <c r="T153" s="222"/>
      <c r="U153" s="222"/>
      <c r="V153" s="222"/>
      <c r="W153" s="222"/>
      <c r="X153" s="122"/>
      <c r="Y153" s="122"/>
      <c r="Z153" s="122"/>
      <c r="AA153" s="125"/>
    </row>
    <row r="154" spans="2:27">
      <c r="B154" s="120"/>
      <c r="C154" s="180"/>
      <c r="D154" s="134"/>
      <c r="E154" s="134"/>
      <c r="F154" s="134"/>
      <c r="G154" s="134"/>
      <c r="H154" s="134"/>
      <c r="I154" s="134"/>
      <c r="J154" s="135"/>
      <c r="K154" s="134"/>
      <c r="L154" s="134"/>
      <c r="M154" s="134"/>
      <c r="N154" s="134"/>
      <c r="O154" s="138"/>
      <c r="P154" s="122"/>
      <c r="Q154" s="123"/>
      <c r="R154" s="222"/>
      <c r="S154" s="222"/>
      <c r="T154" s="222"/>
      <c r="U154" s="222"/>
      <c r="V154" s="222"/>
      <c r="W154" s="222"/>
      <c r="X154" s="122"/>
      <c r="Y154" s="122"/>
      <c r="Z154" s="122"/>
      <c r="AA154" s="125"/>
    </row>
    <row r="155" spans="2:27">
      <c r="B155" s="180"/>
      <c r="C155" s="134"/>
      <c r="D155" s="134"/>
      <c r="E155" s="134"/>
      <c r="F155" s="134"/>
      <c r="G155" s="134"/>
      <c r="H155" s="134"/>
      <c r="I155" s="134"/>
      <c r="J155" s="135"/>
      <c r="K155" s="134"/>
      <c r="L155" s="134"/>
      <c r="M155" s="134"/>
      <c r="N155" s="134"/>
      <c r="O155" s="134"/>
      <c r="P155" s="134"/>
      <c r="Q155" s="136"/>
      <c r="R155" s="137"/>
      <c r="S155" s="134"/>
      <c r="T155" s="134"/>
      <c r="U155" s="134"/>
      <c r="V155" s="134"/>
      <c r="W155" s="134"/>
      <c r="X155" s="134"/>
      <c r="Y155" s="134"/>
      <c r="Z155" s="134"/>
      <c r="AA155" s="138"/>
    </row>
    <row r="156" spans="2:27">
      <c r="B156" s="76" t="s">
        <v>346</v>
      </c>
    </row>
    <row r="157" spans="2:27"/>
  </sheetData>
  <mergeCells count="6">
    <mergeCell ref="R150:W154"/>
    <mergeCell ref="I8:K8"/>
    <mergeCell ref="B2:AA2"/>
    <mergeCell ref="R6:Z6"/>
    <mergeCell ref="C6:O6"/>
    <mergeCell ref="H4:I4"/>
  </mergeCells>
  <phoneticPr fontId="1" type="noConversion"/>
  <conditionalFormatting sqref="S9:S10 S16:S17 S23:S24 S30:S31 S37:S38 S44:S45 S51:S52 S58:S59">
    <cfRule type="expression" dxfId="571" priority="53" stopIfTrue="1">
      <formula>$T$9+$T$10+$T$11+$T$12=24</formula>
    </cfRule>
  </conditionalFormatting>
  <conditionalFormatting sqref="S11 S18 S25 S32 S39 S46 S53 S60">
    <cfRule type="expression" dxfId="570" priority="54" stopIfTrue="1">
      <formula>$T$9+$T$10+$T$11+$T$12=24</formula>
    </cfRule>
  </conditionalFormatting>
  <conditionalFormatting sqref="M4">
    <cfRule type="expression" dxfId="569" priority="49">
      <formula>$H$4="Team"</formula>
    </cfRule>
  </conditionalFormatting>
  <conditionalFormatting sqref="K4">
    <cfRule type="expression" dxfId="568" priority="48">
      <formula>$H$4="Group"</formula>
    </cfRule>
  </conditionalFormatting>
  <conditionalFormatting sqref="L4">
    <cfRule type="expression" dxfId="567" priority="42">
      <formula>$H$4="Team"</formula>
    </cfRule>
    <cfRule type="expression" dxfId="566" priority="45">
      <formula>$H$4="Group"</formula>
    </cfRule>
  </conditionalFormatting>
  <conditionalFormatting sqref="H4 J4">
    <cfRule type="cellIs" dxfId="565" priority="44" operator="equal">
      <formula>"Team"</formula>
    </cfRule>
  </conditionalFormatting>
  <conditionalFormatting sqref="J4:K4">
    <cfRule type="expression" dxfId="564" priority="43">
      <formula>$H$4="Team"</formula>
    </cfRule>
  </conditionalFormatting>
  <conditionalFormatting sqref="G10:G153">
    <cfRule type="expression" dxfId="563" priority="29">
      <formula>AND(ISNUMBER(I10),ISNUMBER(K10),I10&gt;K10)</formula>
    </cfRule>
  </conditionalFormatting>
  <conditionalFormatting sqref="M10:M153">
    <cfRule type="expression" dxfId="562" priority="30">
      <formula>AND(ISNUMBER(I10),ISNUMBER(K10),I10&lt;K10)</formula>
    </cfRule>
  </conditionalFormatting>
  <conditionalFormatting sqref="I10:I153 K10:K153">
    <cfRule type="expression" dxfId="561" priority="26">
      <formula>ISBLANK(I10)</formula>
    </cfRule>
  </conditionalFormatting>
  <conditionalFormatting sqref="S65:S66">
    <cfRule type="expression" dxfId="560" priority="13" stopIfTrue="1">
      <formula>$T$9+$T$10+$T$11+$T$12=24</formula>
    </cfRule>
  </conditionalFormatting>
  <conditionalFormatting sqref="S67">
    <cfRule type="expression" dxfId="559" priority="14" stopIfTrue="1">
      <formula>$T$9+$T$10+$T$11+$T$12=24</formula>
    </cfRule>
  </conditionalFormatting>
  <conditionalFormatting sqref="S72:S73">
    <cfRule type="expression" dxfId="558" priority="11" stopIfTrue="1">
      <formula>$T$9+$T$10+$T$11+$T$12=24</formula>
    </cfRule>
  </conditionalFormatting>
  <conditionalFormatting sqref="S74">
    <cfRule type="expression" dxfId="557" priority="12" stopIfTrue="1">
      <formula>$T$9+$T$10+$T$11+$T$12=24</formula>
    </cfRule>
  </conditionalFormatting>
  <conditionalFormatting sqref="S79:S80">
    <cfRule type="expression" dxfId="556" priority="9" stopIfTrue="1">
      <formula>$T$9+$T$10+$T$11+$T$12=24</formula>
    </cfRule>
  </conditionalFormatting>
  <conditionalFormatting sqref="S81">
    <cfRule type="expression" dxfId="555" priority="10" stopIfTrue="1">
      <formula>$T$9+$T$10+$T$11+$T$12=24</formula>
    </cfRule>
  </conditionalFormatting>
  <conditionalFormatting sqref="S86:S87">
    <cfRule type="expression" dxfId="554" priority="7" stopIfTrue="1">
      <formula>$T$9+$T$10+$T$11+$T$12=24</formula>
    </cfRule>
  </conditionalFormatting>
  <conditionalFormatting sqref="S88">
    <cfRule type="expression" dxfId="553" priority="8" stopIfTrue="1">
      <formula>$T$9+$T$10+$T$11+$T$12=24</formula>
    </cfRule>
  </conditionalFormatting>
  <conditionalFormatting sqref="V119:V122">
    <cfRule type="expression" dxfId="552" priority="6">
      <formula>ISBLANK(V119)</formula>
    </cfRule>
  </conditionalFormatting>
  <conditionalFormatting sqref="V125:V128">
    <cfRule type="expression" dxfId="551" priority="5">
      <formula>ISBLANK(V125)</formula>
    </cfRule>
  </conditionalFormatting>
  <conditionalFormatting sqref="V139:V142">
    <cfRule type="expression" dxfId="550" priority="4">
      <formula>ISBLANK(V139)</formula>
    </cfRule>
  </conditionalFormatting>
  <conditionalFormatting sqref="V145:V148">
    <cfRule type="expression" dxfId="549" priority="3">
      <formula>ISBLANK(V145)</formula>
    </cfRule>
  </conditionalFormatting>
  <conditionalFormatting sqref="N10:N153">
    <cfRule type="expression" dxfId="548" priority="15">
      <formula>AND($H$4="Team",OR($G10=$M$4,$M10=$M$4))</formula>
    </cfRule>
    <cfRule type="expression" dxfId="547" priority="16">
      <formula>AND($H$4="Group",$E10=$K$4)</formula>
    </cfRule>
    <cfRule type="expression" dxfId="546" priority="17">
      <formula>AND(ISNUMBER(J10),ISNUMBER(L10),J10&lt;L10)</formula>
    </cfRule>
  </conditionalFormatting>
  <conditionalFormatting sqref="D10:D153">
    <cfRule type="expression" dxfId="545" priority="18">
      <formula>AND($H$4="Team",OR($G10=$M$4,$M10=$M$4))</formula>
    </cfRule>
    <cfRule type="expression" dxfId="544" priority="19">
      <formula>AND($H$4="Group",$E10=$K$4)</formula>
    </cfRule>
  </conditionalFormatting>
  <conditionalFormatting sqref="E10:E153">
    <cfRule type="expression" dxfId="543" priority="20">
      <formula>AND($H$4="Team",OR($G10=$M$4,$M10=$M$4))</formula>
    </cfRule>
    <cfRule type="expression" dxfId="542" priority="21">
      <formula>AND($H$4="Group",$E10=$K$4)</formula>
    </cfRule>
  </conditionalFormatting>
  <conditionalFormatting sqref="F10:M153">
    <cfRule type="expression" dxfId="541" priority="27">
      <formula>AND($H$4="Team",OR($G10=$M$4,$M10=$M$4))</formula>
    </cfRule>
    <cfRule type="expression" dxfId="540" priority="28">
      <formula>AND($H$4="Group",$E10=$K$4)</formula>
    </cfRule>
  </conditionalFormatting>
  <conditionalFormatting sqref="V111:V118">
    <cfRule type="expression" dxfId="539" priority="2">
      <formula>ISBLANK(V111)</formula>
    </cfRule>
  </conditionalFormatting>
  <conditionalFormatting sqref="V131:V138">
    <cfRule type="expression" dxfId="538" priority="1">
      <formula>ISBLANK(V131)</formula>
    </cfRule>
  </conditionalFormatting>
  <dataValidations count="3">
    <dataValidation type="list" allowBlank="1" showInputMessage="1" showErrorMessage="1" sqref="M4 G10:G153 M10:M153">
      <formula1>Team</formula1>
    </dataValidation>
    <dataValidation type="list" allowBlank="1" showInputMessage="1" showErrorMessage="1" sqref="H4">
      <formula1>"Group,Team"</formula1>
    </dataValidation>
    <dataValidation type="list" allowBlank="1" showInputMessage="1" showErrorMessage="1" sqref="K4">
      <formula1>"A,B,C,D,E,F,G,H,I,J,K,L"</formula1>
    </dataValidation>
  </dataValidations>
  <printOptions horizontalCentered="1" verticalCentered="1"/>
  <pageMargins left="0.39370078740157483" right="0.31496062992125984" top="0.55118110236220474" bottom="0.51181102362204722" header="0.23622047244094491" footer="0.35433070866141736"/>
  <pageSetup paperSize="9" scale="43" orientation="portrait" horizontalDpi="300" verticalDpi="300"/>
  <headerFooter alignWithMargins="0">
    <oddHeader>&amp;C&amp;"Arial,Bold"&amp;16
UEFA CHAMPIONS LEAGUE 2016/2017 GROUP FIXTURES</oddHeader>
    <oddFooter>&amp;C
copyright (c) 2016 exceltemplate.net</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DD385"/>
  <sheetViews>
    <sheetView showGridLines="0" topLeftCell="B1" zoomScale="80" zoomScaleNormal="80" zoomScalePageLayoutView="80" workbookViewId="0">
      <selection activeCell="Q322" sqref="Q322"/>
    </sheetView>
  </sheetViews>
  <sheetFormatPr baseColWidth="10" defaultColWidth="0" defaultRowHeight="14" zeroHeight="1" x14ac:dyDescent="0"/>
  <cols>
    <col min="1" max="2" width="2.5" style="1" customWidth="1"/>
    <col min="3" max="3" width="1.6640625" style="6" customWidth="1"/>
    <col min="4" max="4" width="7.5" style="6" customWidth="1"/>
    <col min="5" max="5" width="1.6640625" style="6" customWidth="1"/>
    <col min="6" max="6" width="22.6640625" style="6" customWidth="1"/>
    <col min="7" max="7" width="1.83203125" style="1" customWidth="1"/>
    <col min="8" max="8" width="22.6640625" style="1" customWidth="1"/>
    <col min="9" max="9" width="1.6640625" style="1" customWidth="1"/>
    <col min="10" max="10" width="4.6640625" style="1" customWidth="1"/>
    <col min="11" max="11" width="2.6640625" style="2" customWidth="1"/>
    <col min="12" max="12" width="4.6640625" style="1" customWidth="1"/>
    <col min="13" max="13" width="1.6640625" style="1" customWidth="1"/>
    <col min="14" max="14" width="22.6640625" style="1" customWidth="1"/>
    <col min="15" max="15" width="2.6640625" style="1" customWidth="1"/>
    <col min="16" max="16" width="4.6640625" style="1" customWidth="1"/>
    <col min="17" max="17" width="2.6640625" style="1" customWidth="1"/>
    <col min="18" max="18" width="4.6640625" style="1" customWidth="1"/>
    <col min="19" max="19" width="2.5" style="1" customWidth="1"/>
    <col min="20" max="20" width="22.6640625" style="1" customWidth="1"/>
    <col min="21" max="21" width="3.33203125" style="1" customWidth="1"/>
    <col min="22" max="22" width="4.6640625" style="1" customWidth="1"/>
    <col min="23" max="23" width="2.6640625" style="1" customWidth="1"/>
    <col min="24" max="24" width="4.6640625" style="1" customWidth="1"/>
    <col min="25" max="25" width="2.6640625" style="1" customWidth="1"/>
    <col min="26" max="26" width="22.6640625" style="1" customWidth="1"/>
    <col min="27" max="27" width="2.6640625" style="1" customWidth="1"/>
    <col min="28" max="28" width="1.6640625" style="6" customWidth="1"/>
    <col min="29" max="29" width="9.1640625" style="6" customWidth="1"/>
    <col min="30" max="30" width="1.6640625" style="39" customWidth="1"/>
    <col min="31" max="31" width="22.6640625" style="39" customWidth="1"/>
    <col min="32" max="33" width="2.6640625" style="1" customWidth="1"/>
    <col min="34" max="16384" width="9.1640625" style="1" hidden="1"/>
  </cols>
  <sheetData>
    <row r="1" spans="2:108">
      <c r="AE1" s="37"/>
      <c r="AF1" s="3"/>
    </row>
    <row r="2" spans="2:108" s="145" customFormat="1" ht="21.75" customHeight="1">
      <c r="B2" s="239" t="s">
        <v>188</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144"/>
      <c r="DC2" s="146"/>
      <c r="DD2" s="146"/>
    </row>
    <row r="3" spans="2:108" ht="15" customHeight="1">
      <c r="B3" s="149"/>
      <c r="K3" s="1"/>
      <c r="R3" s="6"/>
      <c r="S3" s="6"/>
      <c r="T3" s="6"/>
      <c r="U3" s="6"/>
      <c r="V3" s="6"/>
      <c r="W3" s="6"/>
      <c r="X3" s="6"/>
      <c r="Y3" s="6"/>
      <c r="Z3" s="6"/>
      <c r="AA3" s="6"/>
      <c r="AE3" s="6"/>
      <c r="DC3" s="3"/>
      <c r="DD3" s="3"/>
    </row>
    <row r="4" spans="2:108" ht="15" customHeight="1">
      <c r="B4" s="236" t="s">
        <v>0</v>
      </c>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8"/>
      <c r="CF4" s="3" t="s">
        <v>18</v>
      </c>
      <c r="CG4" s="3" t="s">
        <v>163</v>
      </c>
    </row>
    <row r="5" spans="2:108" ht="15" customHeight="1">
      <c r="B5" s="7"/>
      <c r="G5" s="6"/>
      <c r="H5" s="6"/>
      <c r="I5" s="6"/>
      <c r="J5" s="6"/>
      <c r="K5" s="8"/>
      <c r="L5" s="6"/>
      <c r="M5" s="6"/>
      <c r="N5" s="6"/>
      <c r="O5" s="6"/>
      <c r="P5" s="6"/>
      <c r="Q5" s="6"/>
      <c r="R5" s="6"/>
      <c r="S5" s="6"/>
      <c r="T5" s="6"/>
      <c r="U5" s="6"/>
      <c r="V5" s="6"/>
      <c r="W5" s="6"/>
      <c r="X5" s="6"/>
      <c r="Y5" s="6"/>
      <c r="Z5" s="6"/>
      <c r="AA5" s="6"/>
      <c r="AD5" s="6"/>
      <c r="AE5" s="6"/>
      <c r="AF5" s="9"/>
      <c r="CF5" s="3"/>
      <c r="CG5" s="3"/>
    </row>
    <row r="6" spans="2:108" ht="15" customHeight="1">
      <c r="B6" s="7"/>
      <c r="C6" s="241" t="s">
        <v>185</v>
      </c>
      <c r="D6" s="241"/>
      <c r="E6" s="241"/>
      <c r="F6" s="241"/>
      <c r="G6" s="241"/>
      <c r="H6" s="241"/>
      <c r="I6" s="241"/>
      <c r="J6" s="241"/>
      <c r="K6" s="241"/>
      <c r="L6" s="241"/>
      <c r="M6" s="241"/>
      <c r="N6" s="241"/>
      <c r="O6" s="241"/>
      <c r="P6" s="241"/>
      <c r="Q6" s="6"/>
      <c r="R6" s="242" t="s">
        <v>184</v>
      </c>
      <c r="S6" s="242"/>
      <c r="T6" s="242"/>
      <c r="U6" s="242"/>
      <c r="V6" s="242"/>
      <c r="W6" s="242"/>
      <c r="X6" s="242"/>
      <c r="Y6" s="242"/>
      <c r="Z6" s="242"/>
      <c r="AA6" s="242"/>
      <c r="AB6" s="242"/>
      <c r="AC6" s="242"/>
      <c r="AD6" s="242"/>
      <c r="AE6" s="242"/>
      <c r="AF6" s="9"/>
      <c r="CF6" s="3"/>
      <c r="CG6" s="3"/>
    </row>
    <row r="7" spans="2:108" s="12" customFormat="1" ht="15" customHeight="1">
      <c r="B7" s="10"/>
      <c r="C7" s="51"/>
      <c r="D7" s="51"/>
      <c r="E7" s="51"/>
      <c r="F7" s="51"/>
      <c r="G7" s="51"/>
      <c r="H7" s="52" t="s">
        <v>217</v>
      </c>
      <c r="I7" s="51"/>
      <c r="J7" s="51"/>
      <c r="K7" s="51"/>
      <c r="L7" s="51"/>
      <c r="M7" s="51"/>
      <c r="N7" s="52" t="s">
        <v>218</v>
      </c>
      <c r="O7" s="51"/>
      <c r="P7" s="51"/>
      <c r="Q7" s="4"/>
      <c r="R7" s="57"/>
      <c r="S7" s="57"/>
      <c r="T7" s="58" t="s">
        <v>218</v>
      </c>
      <c r="U7" s="57"/>
      <c r="V7" s="57"/>
      <c r="W7" s="57"/>
      <c r="X7" s="57"/>
      <c r="Y7" s="57"/>
      <c r="Z7" s="58" t="s">
        <v>217</v>
      </c>
      <c r="AA7" s="57"/>
      <c r="AB7" s="57"/>
      <c r="AC7" s="57"/>
      <c r="AD7" s="57"/>
      <c r="AE7" s="57"/>
      <c r="AF7" s="11"/>
      <c r="CF7" s="13"/>
      <c r="CG7" s="13"/>
    </row>
    <row r="8" spans="2:108" ht="15" customHeight="1">
      <c r="B8" s="7"/>
      <c r="C8" s="53"/>
      <c r="D8" s="53" t="s">
        <v>16</v>
      </c>
      <c r="E8" s="53" t="s">
        <v>24</v>
      </c>
      <c r="F8" s="54">
        <v>1</v>
      </c>
      <c r="G8" s="55"/>
      <c r="H8" s="68" t="str">
        <f>IF(ISNA(VLOOKUP(F8,'Group Stages'!$V$131:$X$148,3,FALSE)),"",VLOOKUP(F8,'Group Stages'!$V$131:$X$148,3,FALSE))</f>
        <v/>
      </c>
      <c r="I8" s="53"/>
      <c r="J8" s="52"/>
      <c r="K8" s="52" t="s">
        <v>4</v>
      </c>
      <c r="L8" s="52"/>
      <c r="M8" s="53"/>
      <c r="N8" s="181" t="str">
        <f>Z8</f>
        <v/>
      </c>
      <c r="O8" s="53"/>
      <c r="P8" s="53"/>
      <c r="Q8" s="6"/>
      <c r="R8" s="57"/>
      <c r="S8" s="57"/>
      <c r="T8" s="66" t="str">
        <f>H8</f>
        <v/>
      </c>
      <c r="U8" s="57"/>
      <c r="V8" s="58"/>
      <c r="W8" s="58" t="s">
        <v>4</v>
      </c>
      <c r="X8" s="58"/>
      <c r="Y8" s="57"/>
      <c r="Z8" s="182" t="str">
        <f>IF(ISNA(VLOOKUP(AE8,'Group Stages'!$V$111:$X$128,3,FALSE)),"",VLOOKUP(AE8,'Group Stages'!$V$111:$X$128,3,FALSE))</f>
        <v/>
      </c>
      <c r="AA8" s="57"/>
      <c r="AB8" s="57"/>
      <c r="AC8" s="57" t="s">
        <v>16</v>
      </c>
      <c r="AD8" s="57" t="s">
        <v>24</v>
      </c>
      <c r="AE8" s="59">
        <f>F8</f>
        <v>1</v>
      </c>
      <c r="AF8" s="9"/>
      <c r="CF8" s="3"/>
      <c r="CG8" s="3"/>
    </row>
    <row r="9" spans="2:108" ht="15" customHeight="1">
      <c r="B9" s="7"/>
      <c r="C9" s="53"/>
      <c r="D9" s="53" t="s">
        <v>1</v>
      </c>
      <c r="E9" s="53" t="s">
        <v>24</v>
      </c>
      <c r="F9" s="56"/>
      <c r="G9" s="53"/>
      <c r="H9" s="53"/>
      <c r="I9" s="53"/>
      <c r="J9" s="53"/>
      <c r="K9" s="52"/>
      <c r="L9" s="53"/>
      <c r="M9" s="53"/>
      <c r="N9" s="53"/>
      <c r="O9" s="53"/>
      <c r="P9" s="53"/>
      <c r="Q9" s="6"/>
      <c r="R9" s="57"/>
      <c r="S9" s="57"/>
      <c r="T9" s="57"/>
      <c r="U9" s="162" t="s">
        <v>223</v>
      </c>
      <c r="V9" s="58"/>
      <c r="W9" s="162" t="s">
        <v>4</v>
      </c>
      <c r="X9" s="58"/>
      <c r="Y9" s="57"/>
      <c r="Z9" s="57"/>
      <c r="AA9" s="57"/>
      <c r="AB9" s="57"/>
      <c r="AC9" s="57" t="s">
        <v>1</v>
      </c>
      <c r="AD9" s="57" t="s">
        <v>24</v>
      </c>
      <c r="AE9" s="60"/>
      <c r="AF9" s="9"/>
      <c r="CF9" s="3"/>
      <c r="CG9" s="3"/>
    </row>
    <row r="10" spans="2:108" ht="15" customHeight="1">
      <c r="B10" s="7"/>
      <c r="C10" s="53"/>
      <c r="D10" s="53" t="s">
        <v>2</v>
      </c>
      <c r="E10" s="53" t="s">
        <v>24</v>
      </c>
      <c r="F10" s="53"/>
      <c r="G10" s="53"/>
      <c r="H10" s="160"/>
      <c r="I10" s="160"/>
      <c r="J10" s="160"/>
      <c r="K10" s="161"/>
      <c r="L10" s="160"/>
      <c r="M10" s="160"/>
      <c r="N10" s="160"/>
      <c r="O10" s="160"/>
      <c r="P10" s="160"/>
      <c r="R10" s="158"/>
      <c r="S10" s="158"/>
      <c r="T10" s="158"/>
      <c r="U10" s="163" t="s">
        <v>222</v>
      </c>
      <c r="V10" s="159"/>
      <c r="W10" s="162" t="s">
        <v>4</v>
      </c>
      <c r="X10" s="159"/>
      <c r="Y10" s="158"/>
      <c r="Z10" s="158"/>
      <c r="AA10" s="57"/>
      <c r="AB10" s="57"/>
      <c r="AC10" s="57" t="s">
        <v>2</v>
      </c>
      <c r="AD10" s="57" t="s">
        <v>24</v>
      </c>
      <c r="AE10" s="58"/>
      <c r="AF10" s="9"/>
      <c r="CF10" s="3"/>
      <c r="CG10" s="3"/>
    </row>
    <row r="11" spans="2:108" ht="15" customHeight="1">
      <c r="B11" s="7"/>
      <c r="C11" s="53"/>
      <c r="D11" s="53" t="s">
        <v>187</v>
      </c>
      <c r="E11" s="53" t="s">
        <v>24</v>
      </c>
      <c r="F11" s="52" t="str">
        <f>IF(H8&lt;&gt;"",VLOOKUP(H8,'Team Setup'!$B$5:$C$63,2,FALSE),"")</f>
        <v/>
      </c>
      <c r="G11" s="53"/>
      <c r="H11" s="160"/>
      <c r="I11" s="160"/>
      <c r="J11" s="160"/>
      <c r="K11" s="161"/>
      <c r="L11" s="160"/>
      <c r="M11" s="160"/>
      <c r="N11" s="160"/>
      <c r="O11" s="160"/>
      <c r="P11" s="160"/>
      <c r="R11" s="158"/>
      <c r="S11" s="158"/>
      <c r="T11" s="158"/>
      <c r="U11" s="158"/>
      <c r="V11" s="158"/>
      <c r="W11" s="158"/>
      <c r="X11" s="158"/>
      <c r="Y11" s="158"/>
      <c r="Z11" s="158"/>
      <c r="AA11" s="57"/>
      <c r="AB11" s="57"/>
      <c r="AC11" s="57" t="s">
        <v>187</v>
      </c>
      <c r="AD11" s="57" t="s">
        <v>24</v>
      </c>
      <c r="AE11" s="58" t="str">
        <f>IF(Z8&lt;&gt;"",VLOOKUP(Z8,'Team Setup'!$B$5:$C$63,2,FALSE),"")</f>
        <v/>
      </c>
      <c r="AF11" s="9"/>
      <c r="CF11" s="3"/>
      <c r="CG11" s="3"/>
    </row>
    <row r="12" spans="2:108" ht="15" customHeight="1">
      <c r="B12" s="7"/>
      <c r="C12" s="53"/>
      <c r="D12" s="53"/>
      <c r="E12" s="53"/>
      <c r="F12" s="52" t="str">
        <f>IF(H8&lt;&gt;"",VLOOKUP(H8,'Team Setup'!$B$5:$D$63,3,FALSE),"")</f>
        <v/>
      </c>
      <c r="G12" s="53"/>
      <c r="H12" s="17"/>
      <c r="I12" s="17"/>
      <c r="J12" s="17"/>
      <c r="K12" s="18"/>
      <c r="L12" s="17"/>
      <c r="M12" s="17"/>
      <c r="N12" s="17" t="s">
        <v>186</v>
      </c>
      <c r="O12" s="17" t="s">
        <v>24</v>
      </c>
      <c r="P12" s="19" t="str">
        <f>IF(AND(P13&lt;&gt;"",R13&lt;&gt;""),IF(AND(V10&lt;&gt;"",X10&lt;&gt;"",V10&gt;X10),N13&amp;" win on Penalty Kick",IF(AND(V10&lt;&gt;"",X10&lt;&gt;"",V10&lt;X10),T13&amp;" win on Penalty Kick",IF(P13&gt;R13,N13&amp;" win",IF(R13&gt;P13,T13&amp;" win",IF(AND(P13=R13,L8&gt;V8),T13&amp;" win on away goals",IF(AND(P13=R13,L8&lt;V8+V9),N13&amp;" win on away goals","")))))),"")</f>
        <v/>
      </c>
      <c r="Q12" s="19"/>
      <c r="R12" s="19"/>
      <c r="S12" s="17"/>
      <c r="T12" s="17"/>
      <c r="U12" s="17"/>
      <c r="V12" s="17"/>
      <c r="W12" s="17"/>
      <c r="X12" s="17"/>
      <c r="Y12" s="17"/>
      <c r="Z12" s="17"/>
      <c r="AA12" s="57"/>
      <c r="AB12" s="57"/>
      <c r="AC12" s="57"/>
      <c r="AD12" s="57"/>
      <c r="AE12" s="58" t="str">
        <f>IF(Z8&lt;&gt;"",VLOOKUP(Z8,'Team Setup'!$B$5:$D$63,3,FALSE),"")</f>
        <v/>
      </c>
      <c r="AF12" s="9"/>
      <c r="CF12" s="3"/>
      <c r="CG12" s="3"/>
    </row>
    <row r="13" spans="2:108" ht="15" customHeight="1">
      <c r="B13" s="7"/>
      <c r="C13" s="53"/>
      <c r="D13" s="53"/>
      <c r="E13" s="53"/>
      <c r="F13" s="53"/>
      <c r="G13" s="53"/>
      <c r="H13" s="6"/>
      <c r="I13" s="6"/>
      <c r="J13" s="8"/>
      <c r="K13" s="20"/>
      <c r="L13" s="21"/>
      <c r="M13" s="8"/>
      <c r="N13" s="22" t="str">
        <f>H8</f>
        <v/>
      </c>
      <c r="O13" s="4"/>
      <c r="P13" s="23" t="str">
        <f>IF(AND(L8&lt;&gt;"",V8&lt;&gt;"",X8&lt;&gt;"",J8&lt;&gt;""),J8+V8+V9,"")</f>
        <v/>
      </c>
      <c r="Q13" s="24" t="s">
        <v>4</v>
      </c>
      <c r="R13" s="23" t="str">
        <f>IF(AND(L8&lt;&gt;"",V8&lt;&gt;"",X8&lt;&gt;"",J8&lt;&gt;""),L8+X8+X9,"")</f>
        <v/>
      </c>
      <c r="S13" s="4"/>
      <c r="T13" s="4" t="str">
        <f>Z8</f>
        <v/>
      </c>
      <c r="U13" s="6"/>
      <c r="V13" s="6"/>
      <c r="W13" s="6"/>
      <c r="X13" s="6"/>
      <c r="Y13" s="6"/>
      <c r="Z13" s="6"/>
      <c r="AA13" s="57"/>
      <c r="AB13" s="57"/>
      <c r="AC13" s="57"/>
      <c r="AD13" s="57"/>
      <c r="AE13" s="57"/>
      <c r="AF13" s="9"/>
      <c r="CF13" s="3"/>
      <c r="CG13" s="3"/>
    </row>
    <row r="14" spans="2:108" ht="15" customHeight="1">
      <c r="B14" s="7"/>
      <c r="G14" s="6"/>
      <c r="H14" s="6"/>
      <c r="I14" s="6"/>
      <c r="J14" s="6"/>
      <c r="K14" s="25"/>
      <c r="L14" s="21"/>
      <c r="M14" s="6"/>
      <c r="N14" s="6"/>
      <c r="O14" s="6"/>
      <c r="P14" s="6"/>
      <c r="Q14" s="6"/>
      <c r="R14" s="6"/>
      <c r="S14" s="6"/>
      <c r="T14" s="6"/>
      <c r="U14" s="6"/>
      <c r="V14" s="6"/>
      <c r="W14" s="6"/>
      <c r="X14" s="6"/>
      <c r="Y14" s="6"/>
      <c r="Z14" s="6"/>
      <c r="AA14" s="6"/>
      <c r="AD14" s="6"/>
      <c r="AE14" s="6"/>
      <c r="AF14" s="9"/>
      <c r="CF14" s="3"/>
      <c r="CG14" s="3"/>
    </row>
    <row r="15" spans="2:108" ht="15" customHeight="1">
      <c r="B15" s="7"/>
      <c r="C15" s="243" t="s">
        <v>185</v>
      </c>
      <c r="D15" s="243"/>
      <c r="E15" s="243"/>
      <c r="F15" s="243"/>
      <c r="G15" s="243"/>
      <c r="H15" s="243"/>
      <c r="I15" s="243"/>
      <c r="J15" s="243"/>
      <c r="K15" s="243"/>
      <c r="L15" s="243"/>
      <c r="M15" s="243"/>
      <c r="N15" s="243"/>
      <c r="O15" s="243"/>
      <c r="P15" s="243"/>
      <c r="Q15" s="50"/>
      <c r="R15" s="242" t="s">
        <v>184</v>
      </c>
      <c r="S15" s="242"/>
      <c r="T15" s="242"/>
      <c r="U15" s="242"/>
      <c r="V15" s="242"/>
      <c r="W15" s="242"/>
      <c r="X15" s="242"/>
      <c r="Y15" s="242"/>
      <c r="Z15" s="242"/>
      <c r="AA15" s="242"/>
      <c r="AB15" s="242"/>
      <c r="AC15" s="242"/>
      <c r="AD15" s="242"/>
      <c r="AE15" s="242"/>
      <c r="AF15" s="9"/>
      <c r="CF15" s="3"/>
      <c r="CG15" s="3"/>
    </row>
    <row r="16" spans="2:108" ht="15" customHeight="1">
      <c r="B16" s="7"/>
      <c r="C16" s="51"/>
      <c r="D16" s="51"/>
      <c r="E16" s="51"/>
      <c r="F16" s="51"/>
      <c r="G16" s="51"/>
      <c r="H16" s="51"/>
      <c r="I16" s="51"/>
      <c r="J16" s="51"/>
      <c r="K16" s="51"/>
      <c r="L16" s="51"/>
      <c r="M16" s="51"/>
      <c r="N16" s="51"/>
      <c r="O16" s="51"/>
      <c r="P16" s="51"/>
      <c r="Q16" s="4"/>
      <c r="R16" s="57"/>
      <c r="S16" s="57"/>
      <c r="T16" s="57"/>
      <c r="U16" s="57"/>
      <c r="V16" s="57"/>
      <c r="W16" s="57"/>
      <c r="X16" s="57"/>
      <c r="Y16" s="57"/>
      <c r="Z16" s="57"/>
      <c r="AA16" s="57"/>
      <c r="AB16" s="57"/>
      <c r="AC16" s="57"/>
      <c r="AD16" s="57"/>
      <c r="AE16" s="57"/>
      <c r="AF16" s="9"/>
      <c r="CF16" s="3"/>
      <c r="CG16" s="3"/>
    </row>
    <row r="17" spans="2:85" ht="15" customHeight="1">
      <c r="B17" s="7"/>
      <c r="C17" s="53"/>
      <c r="D17" s="53" t="s">
        <v>16</v>
      </c>
      <c r="E17" s="53" t="s">
        <v>24</v>
      </c>
      <c r="F17" s="54">
        <v>2</v>
      </c>
      <c r="G17" s="55"/>
      <c r="H17" s="68" t="str">
        <f>IF(ISNA(VLOOKUP(F17,'Group Stages'!$V$131:$X$148,3,FALSE)),"",VLOOKUP(F17,'Group Stages'!$V$131:$X$148,3,FALSE))</f>
        <v/>
      </c>
      <c r="I17" s="53"/>
      <c r="J17" s="52"/>
      <c r="K17" s="52" t="s">
        <v>4</v>
      </c>
      <c r="L17" s="52"/>
      <c r="M17" s="53"/>
      <c r="N17" s="69" t="str">
        <f>Z17</f>
        <v/>
      </c>
      <c r="O17" s="53"/>
      <c r="P17" s="53"/>
      <c r="Q17" s="6"/>
      <c r="R17" s="57"/>
      <c r="S17" s="57"/>
      <c r="T17" s="66" t="str">
        <f>H17</f>
        <v/>
      </c>
      <c r="U17" s="57"/>
      <c r="V17" s="58"/>
      <c r="W17" s="58" t="s">
        <v>4</v>
      </c>
      <c r="X17" s="58"/>
      <c r="Y17" s="57"/>
      <c r="Z17" s="67" t="str">
        <f>IF(ISNA(VLOOKUP(AE17,'Group Stages'!$V$111:$X$128,3,FALSE)),"",VLOOKUP(AE17,'Group Stages'!$V$111:$X$128,3,FALSE))</f>
        <v/>
      </c>
      <c r="AA17" s="57"/>
      <c r="AB17" s="57"/>
      <c r="AC17" s="57" t="s">
        <v>16</v>
      </c>
      <c r="AD17" s="57" t="s">
        <v>24</v>
      </c>
      <c r="AE17" s="59">
        <f>F17</f>
        <v>2</v>
      </c>
      <c r="AF17" s="9"/>
      <c r="CF17" s="3"/>
      <c r="CG17" s="3"/>
    </row>
    <row r="18" spans="2:85" ht="15" customHeight="1">
      <c r="B18" s="7"/>
      <c r="C18" s="53"/>
      <c r="D18" s="53" t="s">
        <v>1</v>
      </c>
      <c r="E18" s="53" t="s">
        <v>24</v>
      </c>
      <c r="F18" s="56"/>
      <c r="G18" s="53"/>
      <c r="H18" s="53"/>
      <c r="I18" s="53"/>
      <c r="J18" s="53"/>
      <c r="K18" s="52"/>
      <c r="L18" s="53"/>
      <c r="M18" s="53"/>
      <c r="N18" s="53"/>
      <c r="O18" s="53"/>
      <c r="P18" s="53"/>
      <c r="Q18" s="6"/>
      <c r="R18" s="57"/>
      <c r="S18" s="57"/>
      <c r="T18" s="57"/>
      <c r="U18" s="162" t="s">
        <v>223</v>
      </c>
      <c r="V18" s="58"/>
      <c r="W18" s="162" t="s">
        <v>4</v>
      </c>
      <c r="X18" s="58"/>
      <c r="Y18" s="57"/>
      <c r="Z18" s="57"/>
      <c r="AA18" s="57"/>
      <c r="AB18" s="57"/>
      <c r="AC18" s="57" t="s">
        <v>1</v>
      </c>
      <c r="AD18" s="57" t="s">
        <v>24</v>
      </c>
      <c r="AE18" s="60"/>
      <c r="AF18" s="9"/>
      <c r="CF18" s="3"/>
      <c r="CG18" s="3"/>
    </row>
    <row r="19" spans="2:85" ht="15" customHeight="1">
      <c r="B19" s="7"/>
      <c r="C19" s="53"/>
      <c r="D19" s="53" t="s">
        <v>2</v>
      </c>
      <c r="E19" s="53" t="s">
        <v>24</v>
      </c>
      <c r="F19" s="53"/>
      <c r="G19" s="53"/>
      <c r="H19" s="160"/>
      <c r="I19" s="160"/>
      <c r="J19" s="160"/>
      <c r="K19" s="161"/>
      <c r="L19" s="160"/>
      <c r="M19" s="160"/>
      <c r="N19" s="160"/>
      <c r="O19" s="160"/>
      <c r="P19" s="160"/>
      <c r="R19" s="158"/>
      <c r="S19" s="158"/>
      <c r="T19" s="158"/>
      <c r="U19" s="163" t="s">
        <v>222</v>
      </c>
      <c r="V19" s="159"/>
      <c r="W19" s="162" t="s">
        <v>4</v>
      </c>
      <c r="X19" s="159"/>
      <c r="Y19" s="158"/>
      <c r="Z19" s="158"/>
      <c r="AA19" s="57"/>
      <c r="AB19" s="57"/>
      <c r="AC19" s="57" t="s">
        <v>2</v>
      </c>
      <c r="AD19" s="57" t="s">
        <v>24</v>
      </c>
      <c r="AE19" s="58"/>
      <c r="AF19" s="9"/>
      <c r="CF19" s="3"/>
      <c r="CG19" s="3"/>
    </row>
    <row r="20" spans="2:85" ht="15" customHeight="1">
      <c r="B20" s="7"/>
      <c r="C20" s="53"/>
      <c r="D20" s="53" t="s">
        <v>187</v>
      </c>
      <c r="E20" s="53" t="s">
        <v>24</v>
      </c>
      <c r="F20" s="52" t="str">
        <f>IF(H17&lt;&gt;"",VLOOKUP(H17,'Team Setup'!$B$5:$C$63,2,FALSE),"")</f>
        <v/>
      </c>
      <c r="G20" s="53"/>
      <c r="H20" s="160"/>
      <c r="I20" s="160"/>
      <c r="J20" s="160"/>
      <c r="K20" s="161"/>
      <c r="L20" s="160"/>
      <c r="M20" s="160"/>
      <c r="N20" s="160"/>
      <c r="O20" s="160"/>
      <c r="P20" s="160"/>
      <c r="R20" s="158"/>
      <c r="S20" s="158"/>
      <c r="T20" s="158"/>
      <c r="U20" s="158"/>
      <c r="V20" s="158"/>
      <c r="W20" s="158"/>
      <c r="X20" s="158"/>
      <c r="Y20" s="158"/>
      <c r="Z20" s="158"/>
      <c r="AA20" s="57"/>
      <c r="AB20" s="57"/>
      <c r="AC20" s="57" t="s">
        <v>187</v>
      </c>
      <c r="AD20" s="57" t="s">
        <v>24</v>
      </c>
      <c r="AE20" s="58" t="str">
        <f>IF(Z17&lt;&gt;"",VLOOKUP(Z17,'Team Setup'!$B$5:$C$63,2,FALSE),"")</f>
        <v/>
      </c>
      <c r="AF20" s="9"/>
      <c r="CF20" s="3"/>
      <c r="CG20" s="3"/>
    </row>
    <row r="21" spans="2:85" ht="15" customHeight="1">
      <c r="B21" s="7"/>
      <c r="C21" s="53"/>
      <c r="D21" s="53"/>
      <c r="E21" s="53"/>
      <c r="F21" s="52" t="str">
        <f>IF(H17&lt;&gt;"",VLOOKUP(H17,'Team Setup'!$B$5:$D$63,3,FALSE),"")</f>
        <v/>
      </c>
      <c r="G21" s="53"/>
      <c r="H21" s="17"/>
      <c r="I21" s="17"/>
      <c r="J21" s="17"/>
      <c r="K21" s="156"/>
      <c r="L21" s="17"/>
      <c r="M21" s="17"/>
      <c r="N21" s="17" t="s">
        <v>186</v>
      </c>
      <c r="O21" s="17" t="s">
        <v>24</v>
      </c>
      <c r="P21" s="19" t="str">
        <f>IF(AND(P22&lt;&gt;"",R22&lt;&gt;""),IF(AND(V19&lt;&gt;"",X19&lt;&gt;"",V19&gt;X19),N22&amp;" win on Penalty Kick",IF(AND(V19&lt;&gt;"",X19&lt;&gt;"",V19&lt;X19),T22&amp;" win on Penalty Kick",IF(P22&gt;R22,N22&amp;" win",IF(R22&gt;P22,T22&amp;" win",IF(AND(P22=R22,L17&gt;V17),T22&amp;" win on away goals",IF(AND(P22=R22,L17&lt;V17+V18),N22&amp;" win on away goals","")))))),"")</f>
        <v/>
      </c>
      <c r="Q21" s="19"/>
      <c r="R21" s="19"/>
      <c r="S21" s="17"/>
      <c r="T21" s="17"/>
      <c r="U21" s="17"/>
      <c r="V21" s="17"/>
      <c r="W21" s="17"/>
      <c r="X21" s="17"/>
      <c r="Y21" s="17"/>
      <c r="Z21" s="17"/>
      <c r="AA21" s="57"/>
      <c r="AB21" s="57"/>
      <c r="AC21" s="57"/>
      <c r="AD21" s="57"/>
      <c r="AE21" s="58" t="str">
        <f>IF(Z17&lt;&gt;"",VLOOKUP(Z17,'Team Setup'!$B$5:$D$63,3,FALSE),"")</f>
        <v/>
      </c>
      <c r="AF21" s="9"/>
      <c r="CF21" s="3"/>
      <c r="CG21" s="3"/>
    </row>
    <row r="22" spans="2:85" ht="15" customHeight="1">
      <c r="B22" s="7"/>
      <c r="C22" s="53"/>
      <c r="D22" s="53"/>
      <c r="E22" s="53"/>
      <c r="F22" s="53"/>
      <c r="G22" s="53"/>
      <c r="H22" s="6"/>
      <c r="I22" s="6"/>
      <c r="J22" s="157"/>
      <c r="K22" s="20"/>
      <c r="L22" s="21"/>
      <c r="M22" s="157"/>
      <c r="N22" s="22" t="str">
        <f>H17</f>
        <v/>
      </c>
      <c r="O22" s="4"/>
      <c r="P22" s="23" t="str">
        <f>IF(AND(L17&lt;&gt;"",V17&lt;&gt;"",X17&lt;&gt;"",J17&lt;&gt;""),J17+V17+V18,"")</f>
        <v/>
      </c>
      <c r="Q22" s="24" t="s">
        <v>4</v>
      </c>
      <c r="R22" s="23" t="str">
        <f>IF(AND(L17&lt;&gt;"",V17&lt;&gt;"",X17&lt;&gt;"",J17&lt;&gt;""),L17+X17+X18,"")</f>
        <v/>
      </c>
      <c r="S22" s="4"/>
      <c r="T22" s="4" t="str">
        <f>Z17</f>
        <v/>
      </c>
      <c r="U22" s="6"/>
      <c r="V22" s="6"/>
      <c r="W22" s="6"/>
      <c r="X22" s="6"/>
      <c r="Y22" s="6"/>
      <c r="Z22" s="6"/>
      <c r="AA22" s="57"/>
      <c r="AB22" s="57"/>
      <c r="AC22" s="57"/>
      <c r="AD22" s="57"/>
      <c r="AE22" s="57"/>
      <c r="AF22" s="9"/>
      <c r="CF22" s="3"/>
      <c r="CG22" s="3"/>
    </row>
    <row r="23" spans="2:85" ht="15" customHeight="1">
      <c r="B23" s="7"/>
      <c r="G23" s="6"/>
      <c r="H23" s="6"/>
      <c r="I23" s="6"/>
      <c r="J23" s="6"/>
      <c r="K23" s="8"/>
      <c r="L23" s="6"/>
      <c r="M23" s="6"/>
      <c r="N23" s="6"/>
      <c r="O23" s="6"/>
      <c r="P23" s="6"/>
      <c r="Q23" s="6"/>
      <c r="R23" s="6"/>
      <c r="S23" s="6"/>
      <c r="T23" s="6"/>
      <c r="U23" s="6"/>
      <c r="V23" s="6"/>
      <c r="W23" s="6"/>
      <c r="X23" s="6"/>
      <c r="Y23" s="6"/>
      <c r="Z23" s="6"/>
      <c r="AA23" s="6"/>
      <c r="AD23" s="6"/>
      <c r="AE23" s="6"/>
      <c r="AF23" s="9"/>
      <c r="CF23" s="3"/>
      <c r="CG23" s="3"/>
    </row>
    <row r="24" spans="2:85" ht="15" customHeight="1">
      <c r="B24" s="7"/>
      <c r="C24" s="234" t="s">
        <v>185</v>
      </c>
      <c r="D24" s="234"/>
      <c r="E24" s="234"/>
      <c r="F24" s="234"/>
      <c r="G24" s="234"/>
      <c r="H24" s="234"/>
      <c r="I24" s="234"/>
      <c r="J24" s="234"/>
      <c r="K24" s="234"/>
      <c r="L24" s="234"/>
      <c r="M24" s="234"/>
      <c r="N24" s="234"/>
      <c r="O24" s="234"/>
      <c r="P24" s="234"/>
      <c r="Q24" s="6"/>
      <c r="R24" s="235" t="s">
        <v>184</v>
      </c>
      <c r="S24" s="235"/>
      <c r="T24" s="235"/>
      <c r="U24" s="235"/>
      <c r="V24" s="235"/>
      <c r="W24" s="235"/>
      <c r="X24" s="235"/>
      <c r="Y24" s="235"/>
      <c r="Z24" s="235"/>
      <c r="AA24" s="235"/>
      <c r="AB24" s="235"/>
      <c r="AC24" s="235"/>
      <c r="AD24" s="235"/>
      <c r="AE24" s="235"/>
      <c r="AF24" s="9"/>
      <c r="CF24" s="3"/>
      <c r="CG24" s="3"/>
    </row>
    <row r="25" spans="2:85" ht="15" customHeight="1">
      <c r="B25" s="7"/>
      <c r="C25" s="51"/>
      <c r="D25" s="51"/>
      <c r="E25" s="51"/>
      <c r="F25" s="51"/>
      <c r="G25" s="51"/>
      <c r="H25" s="51"/>
      <c r="I25" s="51"/>
      <c r="J25" s="51"/>
      <c r="K25" s="51"/>
      <c r="L25" s="51"/>
      <c r="M25" s="51"/>
      <c r="N25" s="51"/>
      <c r="O25" s="51"/>
      <c r="P25" s="51"/>
      <c r="Q25" s="4"/>
      <c r="R25" s="57"/>
      <c r="S25" s="57"/>
      <c r="T25" s="57"/>
      <c r="U25" s="57"/>
      <c r="V25" s="57"/>
      <c r="W25" s="57"/>
      <c r="X25" s="57"/>
      <c r="Y25" s="57"/>
      <c r="Z25" s="57"/>
      <c r="AA25" s="57"/>
      <c r="AB25" s="57"/>
      <c r="AC25" s="57"/>
      <c r="AD25" s="57"/>
      <c r="AE25" s="57"/>
      <c r="AF25" s="9"/>
      <c r="CF25" s="3"/>
      <c r="CG25" s="3"/>
    </row>
    <row r="26" spans="2:85" ht="15" customHeight="1">
      <c r="B26" s="7"/>
      <c r="C26" s="53"/>
      <c r="D26" s="53" t="s">
        <v>16</v>
      </c>
      <c r="E26" s="53" t="s">
        <v>24</v>
      </c>
      <c r="F26" s="54">
        <v>3</v>
      </c>
      <c r="G26" s="55"/>
      <c r="H26" s="68" t="str">
        <f>IF(ISNA(VLOOKUP(F26,'Group Stages'!$V$131:$X$148,3,FALSE)),"",VLOOKUP(F26,'Group Stages'!$V$131:$X$148,3,FALSE))</f>
        <v/>
      </c>
      <c r="I26" s="53"/>
      <c r="J26" s="52"/>
      <c r="K26" s="52" t="s">
        <v>4</v>
      </c>
      <c r="L26" s="52"/>
      <c r="M26" s="53"/>
      <c r="N26" s="69" t="str">
        <f>Z26</f>
        <v/>
      </c>
      <c r="O26" s="53"/>
      <c r="P26" s="53"/>
      <c r="Q26" s="6"/>
      <c r="R26" s="57"/>
      <c r="S26" s="57"/>
      <c r="T26" s="66" t="str">
        <f>H26</f>
        <v/>
      </c>
      <c r="U26" s="57"/>
      <c r="V26" s="58"/>
      <c r="W26" s="58" t="s">
        <v>4</v>
      </c>
      <c r="X26" s="58"/>
      <c r="Y26" s="57"/>
      <c r="Z26" s="67" t="str">
        <f>IF(ISNA(VLOOKUP(AE26,'Group Stages'!$V$111:$X$128,3,FALSE)),"",VLOOKUP(AE26,'Group Stages'!$V$111:$X$128,3,FALSE))</f>
        <v/>
      </c>
      <c r="AA26" s="57"/>
      <c r="AB26" s="57"/>
      <c r="AC26" s="57" t="s">
        <v>16</v>
      </c>
      <c r="AD26" s="57" t="s">
        <v>24</v>
      </c>
      <c r="AE26" s="59">
        <f>F26</f>
        <v>3</v>
      </c>
      <c r="AF26" s="9"/>
      <c r="CF26" s="3"/>
      <c r="CG26" s="3"/>
    </row>
    <row r="27" spans="2:85" ht="15" customHeight="1">
      <c r="B27" s="7"/>
      <c r="C27" s="53"/>
      <c r="D27" s="53" t="s">
        <v>1</v>
      </c>
      <c r="E27" s="53" t="s">
        <v>24</v>
      </c>
      <c r="F27" s="56"/>
      <c r="G27" s="53"/>
      <c r="H27" s="53"/>
      <c r="I27" s="53"/>
      <c r="J27" s="53"/>
      <c r="K27" s="52"/>
      <c r="L27" s="53"/>
      <c r="M27" s="53"/>
      <c r="N27" s="53"/>
      <c r="O27" s="53"/>
      <c r="P27" s="53"/>
      <c r="Q27" s="6"/>
      <c r="R27" s="57"/>
      <c r="S27" s="57"/>
      <c r="T27" s="57"/>
      <c r="U27" s="162" t="s">
        <v>223</v>
      </c>
      <c r="V27" s="58"/>
      <c r="W27" s="162" t="s">
        <v>4</v>
      </c>
      <c r="X27" s="58"/>
      <c r="Y27" s="57"/>
      <c r="Z27" s="57"/>
      <c r="AA27" s="57"/>
      <c r="AB27" s="57"/>
      <c r="AC27" s="57" t="s">
        <v>1</v>
      </c>
      <c r="AD27" s="57" t="s">
        <v>24</v>
      </c>
      <c r="AE27" s="60"/>
      <c r="AF27" s="9"/>
      <c r="CF27" s="3"/>
      <c r="CG27" s="3"/>
    </row>
    <row r="28" spans="2:85" ht="15" customHeight="1">
      <c r="B28" s="7"/>
      <c r="C28" s="53"/>
      <c r="D28" s="53" t="s">
        <v>2</v>
      </c>
      <c r="E28" s="53" t="s">
        <v>24</v>
      </c>
      <c r="F28" s="53"/>
      <c r="G28" s="53"/>
      <c r="H28" s="160"/>
      <c r="I28" s="160"/>
      <c r="J28" s="160"/>
      <c r="K28" s="161"/>
      <c r="L28" s="160"/>
      <c r="M28" s="160"/>
      <c r="N28" s="160"/>
      <c r="O28" s="160"/>
      <c r="P28" s="160"/>
      <c r="R28" s="158"/>
      <c r="S28" s="158"/>
      <c r="T28" s="158"/>
      <c r="U28" s="163" t="s">
        <v>222</v>
      </c>
      <c r="V28" s="159"/>
      <c r="W28" s="162" t="s">
        <v>4</v>
      </c>
      <c r="X28" s="159"/>
      <c r="Y28" s="158"/>
      <c r="Z28" s="158"/>
      <c r="AA28" s="57"/>
      <c r="AB28" s="57"/>
      <c r="AC28" s="57" t="s">
        <v>2</v>
      </c>
      <c r="AD28" s="57" t="s">
        <v>24</v>
      </c>
      <c r="AE28" s="58"/>
      <c r="AF28" s="9"/>
      <c r="CF28" s="3"/>
      <c r="CG28" s="3"/>
    </row>
    <row r="29" spans="2:85" ht="15" customHeight="1">
      <c r="B29" s="7"/>
      <c r="C29" s="53"/>
      <c r="D29" s="53" t="s">
        <v>187</v>
      </c>
      <c r="E29" s="53" t="s">
        <v>24</v>
      </c>
      <c r="F29" s="52" t="str">
        <f>IF(H26&lt;&gt;"",VLOOKUP(H26,'Team Setup'!$B$5:$C$63,2,FALSE),"")</f>
        <v/>
      </c>
      <c r="G29" s="53"/>
      <c r="H29" s="160"/>
      <c r="I29" s="160"/>
      <c r="J29" s="160"/>
      <c r="K29" s="161"/>
      <c r="L29" s="160"/>
      <c r="M29" s="160"/>
      <c r="N29" s="160"/>
      <c r="O29" s="160"/>
      <c r="P29" s="160"/>
      <c r="R29" s="158"/>
      <c r="S29" s="158"/>
      <c r="T29" s="158"/>
      <c r="U29" s="158"/>
      <c r="V29" s="158"/>
      <c r="W29" s="158"/>
      <c r="X29" s="158"/>
      <c r="Y29" s="158"/>
      <c r="Z29" s="158"/>
      <c r="AA29" s="57"/>
      <c r="AB29" s="57"/>
      <c r="AC29" s="57" t="s">
        <v>187</v>
      </c>
      <c r="AD29" s="57" t="s">
        <v>24</v>
      </c>
      <c r="AE29" s="58" t="str">
        <f>IF(Z26&lt;&gt;"",VLOOKUP(Z26,'Team Setup'!$B$5:$C$63,2,FALSE),"")</f>
        <v/>
      </c>
      <c r="AF29" s="9"/>
      <c r="CF29" s="3"/>
      <c r="CG29" s="3"/>
    </row>
    <row r="30" spans="2:85" ht="15" customHeight="1">
      <c r="B30" s="7"/>
      <c r="C30" s="53"/>
      <c r="D30" s="53"/>
      <c r="E30" s="53"/>
      <c r="F30" s="52" t="str">
        <f>IF(H26&lt;&gt;"",VLOOKUP(H26,'Team Setup'!$B$5:$D$63,3,FALSE),"")</f>
        <v/>
      </c>
      <c r="G30" s="53"/>
      <c r="H30" s="17"/>
      <c r="I30" s="17"/>
      <c r="J30" s="17"/>
      <c r="K30" s="156"/>
      <c r="L30" s="17"/>
      <c r="M30" s="17"/>
      <c r="N30" s="17" t="s">
        <v>186</v>
      </c>
      <c r="O30" s="17" t="s">
        <v>24</v>
      </c>
      <c r="P30" s="19" t="str">
        <f>IF(AND(P31&lt;&gt;"",R31&lt;&gt;""),IF(AND(V28&lt;&gt;"",X28&lt;&gt;"",V28&gt;X28),N31&amp;" win on Penalty Kick",IF(AND(V28&lt;&gt;"",X28&lt;&gt;"",V28&lt;X28),T31&amp;" win on Penalty Kick",IF(P31&gt;R31,N31&amp;" win",IF(R31&gt;P31,T31&amp;" win",IF(AND(P31=R31,L26&gt;V26),T31&amp;" win on away goals",IF(AND(P31=R31,L26&lt;V26+V27),N31&amp;" win on away goals","")))))),"")</f>
        <v/>
      </c>
      <c r="Q30" s="19"/>
      <c r="R30" s="19"/>
      <c r="S30" s="17"/>
      <c r="T30" s="17"/>
      <c r="U30" s="17"/>
      <c r="V30" s="17"/>
      <c r="W30" s="17"/>
      <c r="X30" s="17"/>
      <c r="Y30" s="17"/>
      <c r="Z30" s="17"/>
      <c r="AA30" s="57"/>
      <c r="AB30" s="57"/>
      <c r="AC30" s="57"/>
      <c r="AD30" s="57"/>
      <c r="AE30" s="58" t="str">
        <f>IF(Z26&lt;&gt;"",VLOOKUP(Z26,'Team Setup'!$B$5:$D$63,3,FALSE),"")</f>
        <v/>
      </c>
      <c r="AF30" s="9"/>
      <c r="CF30" s="3"/>
      <c r="CG30" s="3"/>
    </row>
    <row r="31" spans="2:85" ht="15" customHeight="1">
      <c r="B31" s="7"/>
      <c r="C31" s="53"/>
      <c r="D31" s="53"/>
      <c r="E31" s="53"/>
      <c r="F31" s="53"/>
      <c r="G31" s="53"/>
      <c r="H31" s="6"/>
      <c r="I31" s="6"/>
      <c r="J31" s="157"/>
      <c r="K31" s="20"/>
      <c r="L31" s="21"/>
      <c r="M31" s="157"/>
      <c r="N31" s="22" t="str">
        <f>H26</f>
        <v/>
      </c>
      <c r="O31" s="4"/>
      <c r="P31" s="23" t="str">
        <f>IF(AND(L26&lt;&gt;"",V26&lt;&gt;"",X26&lt;&gt;"",J26&lt;&gt;""),J26+V26+V27,"")</f>
        <v/>
      </c>
      <c r="Q31" s="24" t="s">
        <v>4</v>
      </c>
      <c r="R31" s="23" t="str">
        <f>IF(AND(L26&lt;&gt;"",V26&lt;&gt;"",X26&lt;&gt;"",J26&lt;&gt;""),L26+X26+X27,"")</f>
        <v/>
      </c>
      <c r="S31" s="4"/>
      <c r="T31" s="4" t="str">
        <f>Z26</f>
        <v/>
      </c>
      <c r="U31" s="6"/>
      <c r="V31" s="6"/>
      <c r="W31" s="6"/>
      <c r="X31" s="6"/>
      <c r="Y31" s="6"/>
      <c r="Z31" s="6"/>
      <c r="AA31" s="57"/>
      <c r="AB31" s="57"/>
      <c r="AC31" s="57"/>
      <c r="AD31" s="57"/>
      <c r="AE31" s="57"/>
      <c r="AF31" s="9"/>
      <c r="CF31" s="3"/>
      <c r="CG31" s="3"/>
    </row>
    <row r="32" spans="2:85" ht="15" customHeight="1">
      <c r="B32" s="7"/>
      <c r="G32" s="6"/>
      <c r="H32" s="6"/>
      <c r="I32" s="6"/>
      <c r="J32" s="6"/>
      <c r="K32" s="8"/>
      <c r="L32" s="6"/>
      <c r="M32" s="6"/>
      <c r="N32" s="6"/>
      <c r="O32" s="6"/>
      <c r="P32" s="6"/>
      <c r="Q32" s="6"/>
      <c r="R32" s="6"/>
      <c r="S32" s="6"/>
      <c r="T32" s="6"/>
      <c r="U32" s="6"/>
      <c r="V32" s="6"/>
      <c r="W32" s="6"/>
      <c r="X32" s="6"/>
      <c r="Y32" s="6"/>
      <c r="Z32" s="6"/>
      <c r="AA32" s="6"/>
      <c r="AD32" s="6"/>
      <c r="AE32" s="6"/>
      <c r="AF32" s="9"/>
      <c r="CF32" s="3"/>
      <c r="CG32" s="3"/>
    </row>
    <row r="33" spans="2:85" ht="15" customHeight="1">
      <c r="B33" s="7"/>
      <c r="C33" s="234" t="s">
        <v>185</v>
      </c>
      <c r="D33" s="234"/>
      <c r="E33" s="234"/>
      <c r="F33" s="234"/>
      <c r="G33" s="234"/>
      <c r="H33" s="234"/>
      <c r="I33" s="234"/>
      <c r="J33" s="234"/>
      <c r="K33" s="234"/>
      <c r="L33" s="234"/>
      <c r="M33" s="234"/>
      <c r="N33" s="234"/>
      <c r="O33" s="234"/>
      <c r="P33" s="234"/>
      <c r="Q33" s="6"/>
      <c r="R33" s="235" t="s">
        <v>184</v>
      </c>
      <c r="S33" s="235"/>
      <c r="T33" s="235"/>
      <c r="U33" s="235"/>
      <c r="V33" s="235"/>
      <c r="W33" s="235"/>
      <c r="X33" s="235"/>
      <c r="Y33" s="235"/>
      <c r="Z33" s="235"/>
      <c r="AA33" s="235"/>
      <c r="AB33" s="235"/>
      <c r="AC33" s="235"/>
      <c r="AD33" s="235"/>
      <c r="AE33" s="235"/>
      <c r="AF33" s="9"/>
      <c r="CF33" s="3"/>
      <c r="CG33" s="3"/>
    </row>
    <row r="34" spans="2:85" ht="15" customHeight="1">
      <c r="B34" s="7"/>
      <c r="C34" s="51"/>
      <c r="D34" s="51"/>
      <c r="E34" s="51"/>
      <c r="F34" s="51"/>
      <c r="G34" s="51"/>
      <c r="H34" s="51"/>
      <c r="I34" s="51"/>
      <c r="J34" s="51"/>
      <c r="K34" s="51"/>
      <c r="L34" s="51"/>
      <c r="M34" s="51"/>
      <c r="N34" s="51"/>
      <c r="O34" s="51"/>
      <c r="P34" s="51"/>
      <c r="Q34" s="4"/>
      <c r="R34" s="57"/>
      <c r="S34" s="57"/>
      <c r="T34" s="57"/>
      <c r="U34" s="57"/>
      <c r="V34" s="57"/>
      <c r="W34" s="57"/>
      <c r="X34" s="57"/>
      <c r="Y34" s="57"/>
      <c r="Z34" s="57"/>
      <c r="AA34" s="57"/>
      <c r="AB34" s="57"/>
      <c r="AC34" s="57"/>
      <c r="AD34" s="57"/>
      <c r="AE34" s="57"/>
      <c r="AF34" s="9"/>
      <c r="CF34" s="3"/>
      <c r="CG34" s="3"/>
    </row>
    <row r="35" spans="2:85" ht="15" customHeight="1">
      <c r="B35" s="7"/>
      <c r="C35" s="53"/>
      <c r="D35" s="53" t="s">
        <v>16</v>
      </c>
      <c r="E35" s="53" t="s">
        <v>24</v>
      </c>
      <c r="F35" s="54">
        <v>4</v>
      </c>
      <c r="G35" s="55"/>
      <c r="H35" s="68" t="str">
        <f>IF(ISNA(VLOOKUP(F35,'Group Stages'!$V$131:$X$148,3,FALSE)),"",VLOOKUP(F35,'Group Stages'!$V$131:$X$148,3,FALSE))</f>
        <v/>
      </c>
      <c r="I35" s="53"/>
      <c r="J35" s="52"/>
      <c r="K35" s="52" t="s">
        <v>4</v>
      </c>
      <c r="L35" s="52"/>
      <c r="M35" s="53"/>
      <c r="N35" s="69" t="str">
        <f>Z35</f>
        <v/>
      </c>
      <c r="O35" s="53"/>
      <c r="P35" s="53"/>
      <c r="Q35" s="6"/>
      <c r="R35" s="57"/>
      <c r="S35" s="57"/>
      <c r="T35" s="66" t="str">
        <f>H35</f>
        <v/>
      </c>
      <c r="U35" s="57"/>
      <c r="V35" s="58"/>
      <c r="W35" s="58" t="s">
        <v>4</v>
      </c>
      <c r="X35" s="58"/>
      <c r="Y35" s="57"/>
      <c r="Z35" s="67" t="str">
        <f>IF(ISNA(VLOOKUP(AE35,'Group Stages'!$V$111:$X$128,3,FALSE)),"",VLOOKUP(AE35,'Group Stages'!$V$111:$X$128,3,FALSE))</f>
        <v/>
      </c>
      <c r="AA35" s="57"/>
      <c r="AB35" s="57"/>
      <c r="AC35" s="57" t="s">
        <v>16</v>
      </c>
      <c r="AD35" s="57" t="s">
        <v>24</v>
      </c>
      <c r="AE35" s="59">
        <f>F35</f>
        <v>4</v>
      </c>
      <c r="AF35" s="9"/>
      <c r="CF35" s="3"/>
      <c r="CG35" s="3"/>
    </row>
    <row r="36" spans="2:85" ht="15" customHeight="1">
      <c r="B36" s="7"/>
      <c r="C36" s="53"/>
      <c r="D36" s="53" t="s">
        <v>1</v>
      </c>
      <c r="E36" s="53" t="s">
        <v>24</v>
      </c>
      <c r="F36" s="56"/>
      <c r="G36" s="53"/>
      <c r="H36" s="53"/>
      <c r="I36" s="53"/>
      <c r="J36" s="53"/>
      <c r="K36" s="52"/>
      <c r="L36" s="53"/>
      <c r="M36" s="53"/>
      <c r="N36" s="53"/>
      <c r="O36" s="53"/>
      <c r="P36" s="53"/>
      <c r="Q36" s="6"/>
      <c r="R36" s="57"/>
      <c r="S36" s="57"/>
      <c r="T36" s="57"/>
      <c r="U36" s="162" t="s">
        <v>223</v>
      </c>
      <c r="V36" s="58"/>
      <c r="W36" s="162" t="s">
        <v>4</v>
      </c>
      <c r="X36" s="58"/>
      <c r="Y36" s="57"/>
      <c r="Z36" s="57"/>
      <c r="AA36" s="57"/>
      <c r="AB36" s="57"/>
      <c r="AC36" s="57" t="s">
        <v>1</v>
      </c>
      <c r="AD36" s="57" t="s">
        <v>24</v>
      </c>
      <c r="AE36" s="60"/>
      <c r="AF36" s="9"/>
      <c r="CF36" s="3"/>
      <c r="CG36" s="3"/>
    </row>
    <row r="37" spans="2:85" ht="15" customHeight="1">
      <c r="B37" s="7"/>
      <c r="C37" s="53"/>
      <c r="D37" s="53" t="s">
        <v>2</v>
      </c>
      <c r="E37" s="53" t="s">
        <v>24</v>
      </c>
      <c r="F37" s="53"/>
      <c r="G37" s="53"/>
      <c r="H37" s="160"/>
      <c r="I37" s="160"/>
      <c r="J37" s="160"/>
      <c r="K37" s="161"/>
      <c r="L37" s="160"/>
      <c r="M37" s="160"/>
      <c r="N37" s="160"/>
      <c r="O37" s="160"/>
      <c r="P37" s="160"/>
      <c r="R37" s="158"/>
      <c r="S37" s="158"/>
      <c r="T37" s="158"/>
      <c r="U37" s="163" t="s">
        <v>222</v>
      </c>
      <c r="V37" s="159"/>
      <c r="W37" s="162" t="s">
        <v>4</v>
      </c>
      <c r="X37" s="159"/>
      <c r="Y37" s="158"/>
      <c r="Z37" s="158"/>
      <c r="AA37" s="57"/>
      <c r="AB37" s="57"/>
      <c r="AC37" s="57" t="s">
        <v>2</v>
      </c>
      <c r="AD37" s="57" t="s">
        <v>24</v>
      </c>
      <c r="AE37" s="58"/>
      <c r="AF37" s="9"/>
      <c r="CF37" s="3"/>
      <c r="CG37" s="3"/>
    </row>
    <row r="38" spans="2:85" ht="15" customHeight="1">
      <c r="B38" s="7"/>
      <c r="C38" s="53"/>
      <c r="D38" s="53" t="s">
        <v>187</v>
      </c>
      <c r="E38" s="53" t="s">
        <v>24</v>
      </c>
      <c r="F38" s="52" t="str">
        <f>IF(H35&lt;&gt;"",VLOOKUP(H35,'Team Setup'!$B$5:$C$63,2,FALSE),"")</f>
        <v/>
      </c>
      <c r="G38" s="53"/>
      <c r="H38" s="160"/>
      <c r="I38" s="160"/>
      <c r="J38" s="160"/>
      <c r="K38" s="161"/>
      <c r="L38" s="160"/>
      <c r="M38" s="160"/>
      <c r="N38" s="160"/>
      <c r="O38" s="160"/>
      <c r="P38" s="160"/>
      <c r="R38" s="158"/>
      <c r="S38" s="158"/>
      <c r="T38" s="158"/>
      <c r="U38" s="158"/>
      <c r="V38" s="158"/>
      <c r="W38" s="158"/>
      <c r="X38" s="158"/>
      <c r="Y38" s="158"/>
      <c r="Z38" s="158"/>
      <c r="AA38" s="57"/>
      <c r="AB38" s="57"/>
      <c r="AC38" s="57" t="s">
        <v>187</v>
      </c>
      <c r="AD38" s="57" t="s">
        <v>24</v>
      </c>
      <c r="AE38" s="58" t="str">
        <f>IF(Z35&lt;&gt;"",VLOOKUP(Z35,'Team Setup'!$B$5:$C$63,2,FALSE),"")</f>
        <v/>
      </c>
      <c r="AF38" s="9"/>
      <c r="CF38" s="3"/>
      <c r="CG38" s="3"/>
    </row>
    <row r="39" spans="2:85" ht="15" customHeight="1">
      <c r="B39" s="7"/>
      <c r="C39" s="53"/>
      <c r="D39" s="53"/>
      <c r="E39" s="53"/>
      <c r="F39" s="52" t="str">
        <f>IF(H35&lt;&gt;"",VLOOKUP(H35,'Team Setup'!$B$5:$D$63,3,FALSE),"")</f>
        <v/>
      </c>
      <c r="G39" s="53"/>
      <c r="H39" s="17"/>
      <c r="I39" s="17"/>
      <c r="J39" s="17"/>
      <c r="K39" s="156"/>
      <c r="L39" s="17"/>
      <c r="M39" s="17"/>
      <c r="N39" s="17" t="s">
        <v>186</v>
      </c>
      <c r="O39" s="17" t="s">
        <v>24</v>
      </c>
      <c r="P39" s="19" t="str">
        <f>IF(AND(P40&lt;&gt;"",R40&lt;&gt;""),IF(AND(V37&lt;&gt;"",X37&lt;&gt;"",V37&gt;X37),N40&amp;" win on Penalty Kick",IF(AND(V37&lt;&gt;"",X37&lt;&gt;"",V37&lt;X37),T40&amp;" win on Penalty Kick",IF(P40&gt;R40,N40&amp;" win",IF(R40&gt;P40,T40&amp;" win",IF(AND(P40=R40,L35&gt;V35),T40&amp;" win on away goals",IF(AND(P40=R40,L35&lt;V35+V36),N40&amp;" win on away goals","")))))),"")</f>
        <v/>
      </c>
      <c r="Q39" s="19"/>
      <c r="R39" s="19"/>
      <c r="S39" s="17"/>
      <c r="T39" s="17"/>
      <c r="U39" s="17"/>
      <c r="V39" s="17"/>
      <c r="W39" s="17"/>
      <c r="X39" s="17"/>
      <c r="Y39" s="17"/>
      <c r="Z39" s="17"/>
      <c r="AA39" s="57"/>
      <c r="AB39" s="57"/>
      <c r="AC39" s="57"/>
      <c r="AD39" s="57"/>
      <c r="AE39" s="58" t="str">
        <f>IF(Z35&lt;&gt;"",VLOOKUP(Z35,'Team Setup'!$B$5:$D$63,3,FALSE),"")</f>
        <v/>
      </c>
      <c r="AF39" s="9"/>
      <c r="CF39" s="3"/>
      <c r="CG39" s="3"/>
    </row>
    <row r="40" spans="2:85" ht="15" customHeight="1">
      <c r="B40" s="7"/>
      <c r="C40" s="53"/>
      <c r="D40" s="53"/>
      <c r="E40" s="53"/>
      <c r="F40" s="53"/>
      <c r="G40" s="53"/>
      <c r="H40" s="6"/>
      <c r="I40" s="6"/>
      <c r="J40" s="157"/>
      <c r="K40" s="20"/>
      <c r="L40" s="21"/>
      <c r="M40" s="157"/>
      <c r="N40" s="22" t="str">
        <f>H35</f>
        <v/>
      </c>
      <c r="O40" s="4"/>
      <c r="P40" s="23" t="str">
        <f>IF(AND(L35&lt;&gt;"",V35&lt;&gt;"",X35&lt;&gt;"",J35&lt;&gt;""),J35+V35+V36,"")</f>
        <v/>
      </c>
      <c r="Q40" s="24" t="s">
        <v>4</v>
      </c>
      <c r="R40" s="23" t="str">
        <f>IF(AND(L35&lt;&gt;"",V35&lt;&gt;"",X35&lt;&gt;"",J35&lt;&gt;""),L35+X35+X36,"")</f>
        <v/>
      </c>
      <c r="S40" s="4"/>
      <c r="T40" s="4" t="str">
        <f>Z35</f>
        <v/>
      </c>
      <c r="U40" s="6"/>
      <c r="V40" s="6"/>
      <c r="W40" s="6"/>
      <c r="X40" s="6"/>
      <c r="Y40" s="6"/>
      <c r="Z40" s="6"/>
      <c r="AA40" s="57"/>
      <c r="AB40" s="57"/>
      <c r="AC40" s="57"/>
      <c r="AD40" s="57"/>
      <c r="AE40" s="57"/>
      <c r="AF40" s="9"/>
      <c r="CF40" s="3"/>
      <c r="CG40" s="3"/>
    </row>
    <row r="41" spans="2:85" ht="15" customHeight="1">
      <c r="B41" s="7"/>
      <c r="G41" s="6"/>
      <c r="H41" s="6"/>
      <c r="I41" s="6"/>
      <c r="J41" s="6"/>
      <c r="K41" s="8"/>
      <c r="L41" s="6"/>
      <c r="M41" s="6"/>
      <c r="N41" s="6"/>
      <c r="O41" s="6"/>
      <c r="P41" s="6"/>
      <c r="Q41" s="6"/>
      <c r="R41" s="6"/>
      <c r="S41" s="6"/>
      <c r="T41" s="6"/>
      <c r="U41" s="6"/>
      <c r="V41" s="6"/>
      <c r="W41" s="6"/>
      <c r="X41" s="6"/>
      <c r="Y41" s="6"/>
      <c r="Z41" s="6"/>
      <c r="AA41" s="6"/>
      <c r="AD41" s="6"/>
      <c r="AE41" s="6"/>
      <c r="AF41" s="9"/>
      <c r="CF41" s="3"/>
      <c r="CG41" s="3"/>
    </row>
    <row r="42" spans="2:85" ht="15" customHeight="1">
      <c r="B42" s="7"/>
      <c r="C42" s="234" t="s">
        <v>185</v>
      </c>
      <c r="D42" s="234"/>
      <c r="E42" s="234"/>
      <c r="F42" s="234"/>
      <c r="G42" s="234"/>
      <c r="H42" s="234"/>
      <c r="I42" s="234"/>
      <c r="J42" s="234"/>
      <c r="K42" s="234"/>
      <c r="L42" s="234"/>
      <c r="M42" s="234"/>
      <c r="N42" s="234"/>
      <c r="O42" s="234"/>
      <c r="P42" s="234"/>
      <c r="Q42" s="6"/>
      <c r="R42" s="235" t="s">
        <v>184</v>
      </c>
      <c r="S42" s="235"/>
      <c r="T42" s="235"/>
      <c r="U42" s="235"/>
      <c r="V42" s="235"/>
      <c r="W42" s="235"/>
      <c r="X42" s="235"/>
      <c r="Y42" s="235"/>
      <c r="Z42" s="235"/>
      <c r="AA42" s="235"/>
      <c r="AB42" s="235"/>
      <c r="AC42" s="235"/>
      <c r="AD42" s="235"/>
      <c r="AE42" s="235"/>
      <c r="AF42" s="9"/>
      <c r="CF42" s="3"/>
      <c r="CG42" s="3"/>
    </row>
    <row r="43" spans="2:85" ht="15" customHeight="1">
      <c r="B43" s="7"/>
      <c r="C43" s="51"/>
      <c r="D43" s="51"/>
      <c r="E43" s="51"/>
      <c r="F43" s="51"/>
      <c r="G43" s="51"/>
      <c r="H43" s="51"/>
      <c r="I43" s="51"/>
      <c r="J43" s="51"/>
      <c r="K43" s="51"/>
      <c r="L43" s="51"/>
      <c r="M43" s="51"/>
      <c r="N43" s="51"/>
      <c r="O43" s="51"/>
      <c r="P43" s="51"/>
      <c r="Q43" s="4"/>
      <c r="R43" s="57"/>
      <c r="S43" s="57"/>
      <c r="T43" s="57"/>
      <c r="U43" s="57"/>
      <c r="V43" s="57"/>
      <c r="W43" s="57"/>
      <c r="X43" s="57"/>
      <c r="Y43" s="57"/>
      <c r="Z43" s="57"/>
      <c r="AA43" s="57"/>
      <c r="AB43" s="57"/>
      <c r="AC43" s="57"/>
      <c r="AD43" s="57"/>
      <c r="AE43" s="57"/>
      <c r="AF43" s="9"/>
      <c r="CF43" s="3"/>
      <c r="CG43" s="3"/>
    </row>
    <row r="44" spans="2:85" ht="15" customHeight="1">
      <c r="B44" s="7"/>
      <c r="C44" s="53"/>
      <c r="D44" s="53" t="s">
        <v>16</v>
      </c>
      <c r="E44" s="53" t="s">
        <v>24</v>
      </c>
      <c r="F44" s="54">
        <v>5</v>
      </c>
      <c r="G44" s="55"/>
      <c r="H44" s="68" t="str">
        <f>IF(ISNA(VLOOKUP(F44,'Group Stages'!$V$131:$X$148,3,FALSE)),"",VLOOKUP(F44,'Group Stages'!$V$131:$X$148,3,FALSE))</f>
        <v/>
      </c>
      <c r="I44" s="53"/>
      <c r="J44" s="52"/>
      <c r="K44" s="52" t="s">
        <v>4</v>
      </c>
      <c r="L44" s="52"/>
      <c r="M44" s="53"/>
      <c r="N44" s="69" t="str">
        <f>Z44</f>
        <v/>
      </c>
      <c r="O44" s="53"/>
      <c r="P44" s="53"/>
      <c r="Q44" s="6"/>
      <c r="R44" s="57"/>
      <c r="S44" s="57"/>
      <c r="T44" s="66" t="str">
        <f>H44</f>
        <v/>
      </c>
      <c r="U44" s="57"/>
      <c r="V44" s="58"/>
      <c r="W44" s="58" t="s">
        <v>4</v>
      </c>
      <c r="X44" s="58"/>
      <c r="Y44" s="57"/>
      <c r="Z44" s="67" t="str">
        <f>IF(ISNA(VLOOKUP(AE44,'Group Stages'!$V$111:$X$128,3,FALSE)),"",VLOOKUP(AE44,'Group Stages'!$V$111:$X$128,3,FALSE))</f>
        <v/>
      </c>
      <c r="AA44" s="57"/>
      <c r="AB44" s="57"/>
      <c r="AC44" s="57" t="s">
        <v>16</v>
      </c>
      <c r="AD44" s="57" t="s">
        <v>24</v>
      </c>
      <c r="AE44" s="59">
        <f>F44</f>
        <v>5</v>
      </c>
      <c r="AF44" s="9"/>
      <c r="CF44" s="3"/>
      <c r="CG44" s="3"/>
    </row>
    <row r="45" spans="2:85" ht="15" customHeight="1">
      <c r="B45" s="7"/>
      <c r="C45" s="53"/>
      <c r="D45" s="53" t="s">
        <v>1</v>
      </c>
      <c r="E45" s="53" t="s">
        <v>24</v>
      </c>
      <c r="F45" s="56"/>
      <c r="G45" s="53"/>
      <c r="H45" s="53"/>
      <c r="I45" s="53"/>
      <c r="J45" s="53"/>
      <c r="K45" s="52"/>
      <c r="L45" s="53"/>
      <c r="M45" s="53"/>
      <c r="N45" s="53"/>
      <c r="O45" s="53"/>
      <c r="P45" s="53"/>
      <c r="Q45" s="6"/>
      <c r="R45" s="57"/>
      <c r="S45" s="57"/>
      <c r="T45" s="57"/>
      <c r="U45" s="162" t="s">
        <v>223</v>
      </c>
      <c r="V45" s="58"/>
      <c r="W45" s="162" t="s">
        <v>4</v>
      </c>
      <c r="X45" s="58"/>
      <c r="Y45" s="57"/>
      <c r="Z45" s="57"/>
      <c r="AA45" s="57"/>
      <c r="AB45" s="57"/>
      <c r="AC45" s="57" t="s">
        <v>1</v>
      </c>
      <c r="AD45" s="57" t="s">
        <v>24</v>
      </c>
      <c r="AE45" s="60"/>
      <c r="AF45" s="9"/>
      <c r="CF45" s="3"/>
      <c r="CG45" s="3"/>
    </row>
    <row r="46" spans="2:85" ht="15" customHeight="1">
      <c r="B46" s="7"/>
      <c r="C46" s="53"/>
      <c r="D46" s="53" t="s">
        <v>2</v>
      </c>
      <c r="E46" s="53" t="s">
        <v>24</v>
      </c>
      <c r="F46" s="53"/>
      <c r="G46" s="53"/>
      <c r="H46" s="160"/>
      <c r="I46" s="160"/>
      <c r="J46" s="160"/>
      <c r="K46" s="161"/>
      <c r="L46" s="160"/>
      <c r="M46" s="160"/>
      <c r="N46" s="160"/>
      <c r="O46" s="160"/>
      <c r="P46" s="160"/>
      <c r="R46" s="158"/>
      <c r="S46" s="158"/>
      <c r="T46" s="158"/>
      <c r="U46" s="163" t="s">
        <v>222</v>
      </c>
      <c r="V46" s="159"/>
      <c r="W46" s="162" t="s">
        <v>4</v>
      </c>
      <c r="X46" s="159"/>
      <c r="Y46" s="158"/>
      <c r="Z46" s="158"/>
      <c r="AA46" s="57"/>
      <c r="AB46" s="57"/>
      <c r="AC46" s="57" t="s">
        <v>2</v>
      </c>
      <c r="AD46" s="57" t="s">
        <v>24</v>
      </c>
      <c r="AE46" s="58"/>
      <c r="AF46" s="9"/>
      <c r="CF46" s="3"/>
      <c r="CG46" s="3"/>
    </row>
    <row r="47" spans="2:85" ht="15" customHeight="1">
      <c r="B47" s="7"/>
      <c r="C47" s="53"/>
      <c r="D47" s="53" t="s">
        <v>187</v>
      </c>
      <c r="E47" s="53" t="s">
        <v>24</v>
      </c>
      <c r="F47" s="52" t="str">
        <f>IF(H44&lt;&gt;"",VLOOKUP(H44,'Team Setup'!$B$5:$C$63,2,FALSE),"")</f>
        <v/>
      </c>
      <c r="G47" s="53"/>
      <c r="H47" s="160"/>
      <c r="I47" s="160"/>
      <c r="J47" s="160"/>
      <c r="K47" s="161"/>
      <c r="L47" s="160"/>
      <c r="M47" s="160"/>
      <c r="N47" s="160"/>
      <c r="O47" s="160"/>
      <c r="P47" s="160"/>
      <c r="R47" s="158"/>
      <c r="S47" s="158"/>
      <c r="T47" s="158"/>
      <c r="U47" s="158"/>
      <c r="V47" s="158"/>
      <c r="W47" s="158"/>
      <c r="X47" s="158"/>
      <c r="Y47" s="158"/>
      <c r="Z47" s="158"/>
      <c r="AA47" s="57"/>
      <c r="AB47" s="57"/>
      <c r="AC47" s="57" t="s">
        <v>187</v>
      </c>
      <c r="AD47" s="57" t="s">
        <v>24</v>
      </c>
      <c r="AE47" s="58" t="str">
        <f>IF(Z44&lt;&gt;"",VLOOKUP(Z44,'Team Setup'!$B$5:$C$63,2,FALSE),"")</f>
        <v/>
      </c>
      <c r="AF47" s="9"/>
      <c r="CF47" s="3"/>
      <c r="CG47" s="3"/>
    </row>
    <row r="48" spans="2:85" ht="15" customHeight="1">
      <c r="B48" s="7"/>
      <c r="C48" s="53"/>
      <c r="D48" s="53"/>
      <c r="E48" s="53"/>
      <c r="F48" s="52" t="str">
        <f>IF(H44&lt;&gt;"",VLOOKUP(H44,'Team Setup'!$B$5:$D$63,3,FALSE),"")</f>
        <v/>
      </c>
      <c r="G48" s="53"/>
      <c r="H48" s="17"/>
      <c r="I48" s="17"/>
      <c r="J48" s="17"/>
      <c r="K48" s="156"/>
      <c r="L48" s="17"/>
      <c r="M48" s="17"/>
      <c r="N48" s="17" t="s">
        <v>186</v>
      </c>
      <c r="O48" s="17" t="s">
        <v>24</v>
      </c>
      <c r="P48" s="19" t="str">
        <f>IF(AND(P49&lt;&gt;"",R49&lt;&gt;""),IF(AND(V46&lt;&gt;"",X46&lt;&gt;"",V46&gt;X46),N49&amp;" win on Penalty Kick",IF(AND(V46&lt;&gt;"",X46&lt;&gt;"",V46&lt;X46),T49&amp;" win on Penalty Kick",IF(P49&gt;R49,N49&amp;" win",IF(R49&gt;P49,T49&amp;" win",IF(AND(P49=R49,L44&gt;V44),T49&amp;" win on away goals",IF(AND(P49=R49,L44&lt;V44+V45),N49&amp;" win on away goals","")))))),"")</f>
        <v/>
      </c>
      <c r="Q48" s="19"/>
      <c r="R48" s="19"/>
      <c r="S48" s="17"/>
      <c r="T48" s="17"/>
      <c r="U48" s="17"/>
      <c r="V48" s="17"/>
      <c r="W48" s="17"/>
      <c r="X48" s="17"/>
      <c r="Y48" s="17"/>
      <c r="Z48" s="17"/>
      <c r="AA48" s="57"/>
      <c r="AB48" s="57"/>
      <c r="AC48" s="57"/>
      <c r="AD48" s="57"/>
      <c r="AE48" s="58" t="str">
        <f>IF(Z44&lt;&gt;"",VLOOKUP(Z44,'Team Setup'!$B$5:$D$63,3,FALSE),"")</f>
        <v/>
      </c>
      <c r="AF48" s="9"/>
      <c r="CF48" s="3"/>
      <c r="CG48" s="3"/>
    </row>
    <row r="49" spans="2:85" ht="15" customHeight="1">
      <c r="B49" s="7"/>
      <c r="C49" s="53"/>
      <c r="D49" s="53"/>
      <c r="E49" s="53"/>
      <c r="F49" s="53"/>
      <c r="G49" s="53"/>
      <c r="H49" s="6"/>
      <c r="I49" s="6"/>
      <c r="J49" s="157"/>
      <c r="K49" s="20"/>
      <c r="L49" s="21"/>
      <c r="M49" s="157"/>
      <c r="N49" s="22" t="str">
        <f>H44</f>
        <v/>
      </c>
      <c r="O49" s="4"/>
      <c r="P49" s="23" t="str">
        <f>IF(AND(L44&lt;&gt;"",V44&lt;&gt;"",X44&lt;&gt;"",J44&lt;&gt;""),J44+V44+V45,"")</f>
        <v/>
      </c>
      <c r="Q49" s="24" t="s">
        <v>4</v>
      </c>
      <c r="R49" s="23" t="str">
        <f>IF(AND(L44&lt;&gt;"",V44&lt;&gt;"",X44&lt;&gt;"",J44&lt;&gt;""),L44+X44+X45,"")</f>
        <v/>
      </c>
      <c r="S49" s="4"/>
      <c r="T49" s="4" t="str">
        <f>Z44</f>
        <v/>
      </c>
      <c r="U49" s="6"/>
      <c r="V49" s="6"/>
      <c r="W49" s="6"/>
      <c r="X49" s="6"/>
      <c r="Y49" s="6"/>
      <c r="Z49" s="6"/>
      <c r="AA49" s="57"/>
      <c r="AB49" s="57"/>
      <c r="AC49" s="57"/>
      <c r="AD49" s="57"/>
      <c r="AE49" s="57"/>
      <c r="AF49" s="9"/>
      <c r="CF49" s="3"/>
      <c r="CG49" s="3"/>
    </row>
    <row r="50" spans="2:85" ht="15" customHeight="1">
      <c r="B50" s="7"/>
      <c r="G50" s="6"/>
      <c r="H50" s="6"/>
      <c r="I50" s="6"/>
      <c r="J50" s="6"/>
      <c r="K50" s="8"/>
      <c r="L50" s="6"/>
      <c r="M50" s="6"/>
      <c r="N50" s="6"/>
      <c r="O50" s="6"/>
      <c r="P50" s="6"/>
      <c r="Q50" s="6"/>
      <c r="R50" s="6"/>
      <c r="S50" s="6"/>
      <c r="T50" s="6"/>
      <c r="U50" s="6"/>
      <c r="V50" s="6"/>
      <c r="W50" s="6"/>
      <c r="X50" s="6"/>
      <c r="Y50" s="6"/>
      <c r="Z50" s="6"/>
      <c r="AA50" s="6"/>
      <c r="AD50" s="6"/>
      <c r="AE50" s="6"/>
      <c r="AF50" s="9"/>
      <c r="CF50" s="3"/>
      <c r="CG50" s="3"/>
    </row>
    <row r="51" spans="2:85" ht="15" customHeight="1">
      <c r="B51" s="7"/>
      <c r="C51" s="234" t="s">
        <v>185</v>
      </c>
      <c r="D51" s="234"/>
      <c r="E51" s="234"/>
      <c r="F51" s="234"/>
      <c r="G51" s="234"/>
      <c r="H51" s="234"/>
      <c r="I51" s="234"/>
      <c r="J51" s="234"/>
      <c r="K51" s="234"/>
      <c r="L51" s="234"/>
      <c r="M51" s="234"/>
      <c r="N51" s="234"/>
      <c r="O51" s="234"/>
      <c r="P51" s="234"/>
      <c r="Q51" s="6"/>
      <c r="R51" s="235" t="s">
        <v>184</v>
      </c>
      <c r="S51" s="235"/>
      <c r="T51" s="235"/>
      <c r="U51" s="235"/>
      <c r="V51" s="235"/>
      <c r="W51" s="235"/>
      <c r="X51" s="235"/>
      <c r="Y51" s="235"/>
      <c r="Z51" s="235"/>
      <c r="AA51" s="235"/>
      <c r="AB51" s="235"/>
      <c r="AC51" s="235"/>
      <c r="AD51" s="235"/>
      <c r="AE51" s="235"/>
      <c r="AF51" s="9"/>
      <c r="CF51" s="3"/>
      <c r="CG51" s="3"/>
    </row>
    <row r="52" spans="2:85" ht="15" customHeight="1">
      <c r="B52" s="7"/>
      <c r="C52" s="51"/>
      <c r="D52" s="51"/>
      <c r="E52" s="51"/>
      <c r="F52" s="51"/>
      <c r="G52" s="51"/>
      <c r="H52" s="51"/>
      <c r="I52" s="51"/>
      <c r="J52" s="51"/>
      <c r="K52" s="51"/>
      <c r="L52" s="51"/>
      <c r="M52" s="51"/>
      <c r="N52" s="51"/>
      <c r="O52" s="51"/>
      <c r="P52" s="51"/>
      <c r="Q52" s="4"/>
      <c r="R52" s="57"/>
      <c r="S52" s="57"/>
      <c r="T52" s="57"/>
      <c r="U52" s="57"/>
      <c r="V52" s="57"/>
      <c r="W52" s="57"/>
      <c r="X52" s="57"/>
      <c r="Y52" s="57"/>
      <c r="Z52" s="57"/>
      <c r="AA52" s="57"/>
      <c r="AB52" s="57"/>
      <c r="AC52" s="57"/>
      <c r="AD52" s="57"/>
      <c r="AE52" s="57"/>
      <c r="AF52" s="9"/>
      <c r="CF52" s="3"/>
      <c r="CG52" s="3"/>
    </row>
    <row r="53" spans="2:85" ht="15" customHeight="1">
      <c r="B53" s="7"/>
      <c r="C53" s="53"/>
      <c r="D53" s="53" t="s">
        <v>16</v>
      </c>
      <c r="E53" s="53" t="s">
        <v>24</v>
      </c>
      <c r="F53" s="54">
        <v>6</v>
      </c>
      <c r="G53" s="55"/>
      <c r="H53" s="68" t="str">
        <f>IF(ISNA(VLOOKUP(F53,'Group Stages'!$V$131:$X$148,3,FALSE)),"",VLOOKUP(F53,'Group Stages'!$V$131:$X$148,3,FALSE))</f>
        <v/>
      </c>
      <c r="I53" s="53"/>
      <c r="J53" s="52"/>
      <c r="K53" s="52" t="s">
        <v>4</v>
      </c>
      <c r="L53" s="52"/>
      <c r="M53" s="53"/>
      <c r="N53" s="69" t="str">
        <f>Z53</f>
        <v/>
      </c>
      <c r="O53" s="53"/>
      <c r="P53" s="53"/>
      <c r="Q53" s="6"/>
      <c r="R53" s="57"/>
      <c r="S53" s="57"/>
      <c r="T53" s="66" t="str">
        <f>H53</f>
        <v/>
      </c>
      <c r="U53" s="57"/>
      <c r="V53" s="58"/>
      <c r="W53" s="58" t="s">
        <v>4</v>
      </c>
      <c r="X53" s="58"/>
      <c r="Y53" s="57"/>
      <c r="Z53" s="67" t="str">
        <f>IF(ISNA(VLOOKUP(AE53,'Group Stages'!$V$111:$X$128,3,FALSE)),"",VLOOKUP(AE53,'Group Stages'!$V$111:$X$128,3,FALSE))</f>
        <v/>
      </c>
      <c r="AA53" s="57"/>
      <c r="AB53" s="57"/>
      <c r="AC53" s="57" t="s">
        <v>16</v>
      </c>
      <c r="AD53" s="57" t="s">
        <v>24</v>
      </c>
      <c r="AE53" s="59">
        <f>F53</f>
        <v>6</v>
      </c>
      <c r="AF53" s="9"/>
      <c r="CF53" s="3"/>
      <c r="CG53" s="3"/>
    </row>
    <row r="54" spans="2:85" ht="15" customHeight="1">
      <c r="B54" s="7"/>
      <c r="C54" s="53"/>
      <c r="D54" s="53" t="s">
        <v>1</v>
      </c>
      <c r="E54" s="53" t="s">
        <v>24</v>
      </c>
      <c r="F54" s="56"/>
      <c r="G54" s="53"/>
      <c r="H54" s="53"/>
      <c r="I54" s="53"/>
      <c r="J54" s="53"/>
      <c r="K54" s="52"/>
      <c r="L54" s="53"/>
      <c r="M54" s="53"/>
      <c r="N54" s="53"/>
      <c r="O54" s="53"/>
      <c r="P54" s="53"/>
      <c r="Q54" s="6"/>
      <c r="R54" s="57"/>
      <c r="S54" s="57"/>
      <c r="T54" s="57"/>
      <c r="U54" s="162" t="s">
        <v>223</v>
      </c>
      <c r="V54" s="58"/>
      <c r="W54" s="162" t="s">
        <v>4</v>
      </c>
      <c r="X54" s="58"/>
      <c r="Y54" s="57"/>
      <c r="Z54" s="57"/>
      <c r="AA54" s="57"/>
      <c r="AB54" s="57"/>
      <c r="AC54" s="57" t="s">
        <v>1</v>
      </c>
      <c r="AD54" s="57" t="s">
        <v>24</v>
      </c>
      <c r="AE54" s="60"/>
      <c r="AF54" s="9"/>
      <c r="CF54" s="3"/>
      <c r="CG54" s="3"/>
    </row>
    <row r="55" spans="2:85" ht="15" customHeight="1">
      <c r="B55" s="7"/>
      <c r="C55" s="53"/>
      <c r="D55" s="53" t="s">
        <v>2</v>
      </c>
      <c r="E55" s="53" t="s">
        <v>24</v>
      </c>
      <c r="F55" s="53"/>
      <c r="G55" s="53"/>
      <c r="H55" s="160"/>
      <c r="I55" s="160"/>
      <c r="J55" s="160"/>
      <c r="K55" s="161"/>
      <c r="L55" s="160"/>
      <c r="M55" s="160"/>
      <c r="N55" s="160"/>
      <c r="O55" s="160"/>
      <c r="P55" s="160"/>
      <c r="R55" s="158"/>
      <c r="S55" s="158"/>
      <c r="T55" s="158"/>
      <c r="U55" s="163" t="s">
        <v>222</v>
      </c>
      <c r="V55" s="159"/>
      <c r="W55" s="162" t="s">
        <v>4</v>
      </c>
      <c r="X55" s="159"/>
      <c r="Y55" s="158"/>
      <c r="Z55" s="158"/>
      <c r="AA55" s="57"/>
      <c r="AB55" s="57"/>
      <c r="AC55" s="57" t="s">
        <v>2</v>
      </c>
      <c r="AD55" s="57" t="s">
        <v>24</v>
      </c>
      <c r="AE55" s="58"/>
      <c r="AF55" s="9"/>
      <c r="CF55" s="3"/>
      <c r="CG55" s="3"/>
    </row>
    <row r="56" spans="2:85" ht="15" customHeight="1">
      <c r="B56" s="7"/>
      <c r="C56" s="53"/>
      <c r="D56" s="53" t="s">
        <v>187</v>
      </c>
      <c r="E56" s="53" t="s">
        <v>24</v>
      </c>
      <c r="F56" s="52" t="str">
        <f>IF(H53&lt;&gt;"",VLOOKUP(H53,'Team Setup'!$B$5:$C$63,2,FALSE),"")</f>
        <v/>
      </c>
      <c r="G56" s="53"/>
      <c r="H56" s="160"/>
      <c r="I56" s="160"/>
      <c r="J56" s="160"/>
      <c r="K56" s="161"/>
      <c r="L56" s="160"/>
      <c r="M56" s="160"/>
      <c r="N56" s="160"/>
      <c r="O56" s="160"/>
      <c r="P56" s="160"/>
      <c r="R56" s="158"/>
      <c r="S56" s="158"/>
      <c r="T56" s="158"/>
      <c r="U56" s="158"/>
      <c r="V56" s="158"/>
      <c r="W56" s="158"/>
      <c r="X56" s="158"/>
      <c r="Y56" s="158"/>
      <c r="Z56" s="158"/>
      <c r="AA56" s="57"/>
      <c r="AB56" s="57"/>
      <c r="AC56" s="57" t="s">
        <v>187</v>
      </c>
      <c r="AD56" s="57" t="s">
        <v>24</v>
      </c>
      <c r="AE56" s="58" t="str">
        <f>IF(Z53&lt;&gt;"",VLOOKUP(Z53,'Team Setup'!$B$5:$C$63,2,FALSE),"")</f>
        <v/>
      </c>
      <c r="AF56" s="9"/>
      <c r="CF56" s="3"/>
      <c r="CG56" s="3"/>
    </row>
    <row r="57" spans="2:85" ht="15" customHeight="1">
      <c r="B57" s="7"/>
      <c r="C57" s="53"/>
      <c r="D57" s="53"/>
      <c r="E57" s="53"/>
      <c r="F57" s="52" t="str">
        <f>IF(H53&lt;&gt;"",VLOOKUP(H53,'Team Setup'!$B$5:$D$63,3,FALSE),"")</f>
        <v/>
      </c>
      <c r="G57" s="53"/>
      <c r="H57" s="17"/>
      <c r="I57" s="17"/>
      <c r="J57" s="17"/>
      <c r="K57" s="156"/>
      <c r="L57" s="17"/>
      <c r="M57" s="17"/>
      <c r="N57" s="17" t="s">
        <v>186</v>
      </c>
      <c r="O57" s="17" t="s">
        <v>24</v>
      </c>
      <c r="P57" s="19" t="str">
        <f>IF(AND(P58&lt;&gt;"",R58&lt;&gt;""),IF(AND(V55&lt;&gt;"",X55&lt;&gt;"",V55&gt;X55),N58&amp;" win on Penalty Kick",IF(AND(V55&lt;&gt;"",X55&lt;&gt;"",V55&lt;X55),T58&amp;" win on Penalty Kick",IF(P58&gt;R58,N58&amp;" win",IF(R58&gt;P58,T58&amp;" win",IF(AND(P58=R58,L53&gt;V53),T58&amp;" win on away goals",IF(AND(P58=R58,L53&lt;V53+V54),N58&amp;" win on away goals","")))))),"")</f>
        <v/>
      </c>
      <c r="Q57" s="19"/>
      <c r="R57" s="19"/>
      <c r="S57" s="17"/>
      <c r="T57" s="17"/>
      <c r="U57" s="17"/>
      <c r="V57" s="17"/>
      <c r="W57" s="17"/>
      <c r="X57" s="17"/>
      <c r="Y57" s="17"/>
      <c r="Z57" s="17"/>
      <c r="AA57" s="57"/>
      <c r="AB57" s="57"/>
      <c r="AC57" s="57"/>
      <c r="AD57" s="57"/>
      <c r="AE57" s="58" t="str">
        <f>IF(Z53&lt;&gt;"",VLOOKUP(Z53,'Team Setup'!$B$5:$D$63,3,FALSE),"")</f>
        <v/>
      </c>
      <c r="AF57" s="9"/>
      <c r="CF57" s="3"/>
      <c r="CG57" s="3"/>
    </row>
    <row r="58" spans="2:85" ht="15" customHeight="1">
      <c r="B58" s="7"/>
      <c r="C58" s="53"/>
      <c r="D58" s="53"/>
      <c r="E58" s="53"/>
      <c r="F58" s="53"/>
      <c r="G58" s="53"/>
      <c r="H58" s="6"/>
      <c r="I58" s="6"/>
      <c r="J58" s="157"/>
      <c r="K58" s="20"/>
      <c r="L58" s="21"/>
      <c r="M58" s="157"/>
      <c r="N58" s="22" t="str">
        <f>H53</f>
        <v/>
      </c>
      <c r="O58" s="4"/>
      <c r="P58" s="23" t="str">
        <f>IF(AND(L53&lt;&gt;"",V53&lt;&gt;"",X53&lt;&gt;"",J53&lt;&gt;""),J53+V53+V54,"")</f>
        <v/>
      </c>
      <c r="Q58" s="24" t="s">
        <v>4</v>
      </c>
      <c r="R58" s="23" t="str">
        <f>IF(AND(L53&lt;&gt;"",V53&lt;&gt;"",X53&lt;&gt;"",J53&lt;&gt;""),L53+X53+X54,"")</f>
        <v/>
      </c>
      <c r="S58" s="4"/>
      <c r="T58" s="4" t="str">
        <f>Z53</f>
        <v/>
      </c>
      <c r="U58" s="6"/>
      <c r="V58" s="6"/>
      <c r="W58" s="6"/>
      <c r="X58" s="6"/>
      <c r="Y58" s="6"/>
      <c r="Z58" s="6"/>
      <c r="AA58" s="57"/>
      <c r="AB58" s="57"/>
      <c r="AC58" s="57"/>
      <c r="AD58" s="57"/>
      <c r="AE58" s="57"/>
      <c r="AF58" s="9"/>
      <c r="CF58" s="3"/>
      <c r="CG58" s="3"/>
    </row>
    <row r="59" spans="2:85" ht="15" customHeight="1">
      <c r="B59" s="7"/>
      <c r="G59" s="6"/>
      <c r="H59" s="6"/>
      <c r="I59" s="6"/>
      <c r="J59" s="6"/>
      <c r="K59" s="8"/>
      <c r="L59" s="6"/>
      <c r="M59" s="6"/>
      <c r="N59" s="6"/>
      <c r="O59" s="6"/>
      <c r="P59" s="6"/>
      <c r="Q59" s="6"/>
      <c r="R59" s="6"/>
      <c r="S59" s="6"/>
      <c r="T59" s="6"/>
      <c r="U59" s="6"/>
      <c r="V59" s="6"/>
      <c r="W59" s="6"/>
      <c r="X59" s="6"/>
      <c r="Y59" s="6"/>
      <c r="Z59" s="6"/>
      <c r="AA59" s="6"/>
      <c r="AD59" s="6"/>
      <c r="AE59" s="6"/>
      <c r="AF59" s="9"/>
      <c r="CF59" s="3"/>
      <c r="CG59" s="3"/>
    </row>
    <row r="60" spans="2:85" ht="15" customHeight="1">
      <c r="B60" s="7"/>
      <c r="C60" s="234" t="s">
        <v>185</v>
      </c>
      <c r="D60" s="234"/>
      <c r="E60" s="234"/>
      <c r="F60" s="234"/>
      <c r="G60" s="234"/>
      <c r="H60" s="234"/>
      <c r="I60" s="234"/>
      <c r="J60" s="234"/>
      <c r="K60" s="234"/>
      <c r="L60" s="234"/>
      <c r="M60" s="234"/>
      <c r="N60" s="234"/>
      <c r="O60" s="234"/>
      <c r="P60" s="234"/>
      <c r="Q60" s="6"/>
      <c r="R60" s="235" t="s">
        <v>184</v>
      </c>
      <c r="S60" s="235"/>
      <c r="T60" s="235"/>
      <c r="U60" s="235"/>
      <c r="V60" s="235"/>
      <c r="W60" s="235"/>
      <c r="X60" s="235"/>
      <c r="Y60" s="235"/>
      <c r="Z60" s="235"/>
      <c r="AA60" s="235"/>
      <c r="AB60" s="235"/>
      <c r="AC60" s="235"/>
      <c r="AD60" s="235"/>
      <c r="AE60" s="235"/>
      <c r="AF60" s="9"/>
      <c r="CF60" s="3"/>
      <c r="CG60" s="3"/>
    </row>
    <row r="61" spans="2:85" ht="15" customHeight="1">
      <c r="B61" s="7"/>
      <c r="C61" s="51"/>
      <c r="D61" s="51"/>
      <c r="E61" s="51"/>
      <c r="F61" s="51"/>
      <c r="G61" s="51"/>
      <c r="H61" s="51"/>
      <c r="I61" s="51"/>
      <c r="J61" s="51"/>
      <c r="K61" s="51"/>
      <c r="L61" s="51"/>
      <c r="M61" s="51"/>
      <c r="N61" s="51"/>
      <c r="O61" s="51"/>
      <c r="P61" s="51"/>
      <c r="Q61" s="4"/>
      <c r="R61" s="57"/>
      <c r="S61" s="57"/>
      <c r="T61" s="57"/>
      <c r="U61" s="57"/>
      <c r="V61" s="57"/>
      <c r="W61" s="57"/>
      <c r="X61" s="57"/>
      <c r="Y61" s="57"/>
      <c r="Z61" s="57"/>
      <c r="AA61" s="57"/>
      <c r="AB61" s="57"/>
      <c r="AC61" s="57"/>
      <c r="AD61" s="57"/>
      <c r="AE61" s="57"/>
      <c r="AF61" s="9"/>
      <c r="CF61" s="3"/>
      <c r="CG61" s="3"/>
    </row>
    <row r="62" spans="2:85" ht="15" customHeight="1">
      <c r="B62" s="7"/>
      <c r="C62" s="53"/>
      <c r="D62" s="53" t="s">
        <v>16</v>
      </c>
      <c r="E62" s="53" t="s">
        <v>24</v>
      </c>
      <c r="F62" s="54">
        <v>7</v>
      </c>
      <c r="G62" s="55"/>
      <c r="H62" s="68" t="str">
        <f>IF(ISNA(VLOOKUP(F62,'Group Stages'!$V$131:$X$148,3,FALSE)),"",VLOOKUP(F62,'Group Stages'!$V$131:$X$148,3,FALSE))</f>
        <v/>
      </c>
      <c r="I62" s="53"/>
      <c r="J62" s="52"/>
      <c r="K62" s="52" t="s">
        <v>4</v>
      </c>
      <c r="L62" s="52"/>
      <c r="M62" s="53"/>
      <c r="N62" s="69" t="str">
        <f>Z62</f>
        <v/>
      </c>
      <c r="O62" s="53"/>
      <c r="P62" s="53"/>
      <c r="Q62" s="6"/>
      <c r="R62" s="57"/>
      <c r="S62" s="57"/>
      <c r="T62" s="66" t="str">
        <f>H62</f>
        <v/>
      </c>
      <c r="U62" s="57"/>
      <c r="V62" s="58"/>
      <c r="W62" s="58" t="s">
        <v>4</v>
      </c>
      <c r="X62" s="58"/>
      <c r="Y62" s="57"/>
      <c r="Z62" s="67" t="str">
        <f>IF(ISNA(VLOOKUP(AE62,'Group Stages'!$V$111:$X$128,3,FALSE)),"",VLOOKUP(AE62,'Group Stages'!$V$111:$X$128,3,FALSE))</f>
        <v/>
      </c>
      <c r="AA62" s="57"/>
      <c r="AB62" s="57"/>
      <c r="AC62" s="57" t="s">
        <v>16</v>
      </c>
      <c r="AD62" s="57" t="s">
        <v>24</v>
      </c>
      <c r="AE62" s="59">
        <f>F62</f>
        <v>7</v>
      </c>
      <c r="AF62" s="9"/>
      <c r="CF62" s="3"/>
      <c r="CG62" s="3"/>
    </row>
    <row r="63" spans="2:85" ht="15" customHeight="1">
      <c r="B63" s="7"/>
      <c r="C63" s="53"/>
      <c r="D63" s="53" t="s">
        <v>1</v>
      </c>
      <c r="E63" s="53" t="s">
        <v>24</v>
      </c>
      <c r="F63" s="56"/>
      <c r="G63" s="53"/>
      <c r="H63" s="53"/>
      <c r="I63" s="53"/>
      <c r="J63" s="53"/>
      <c r="K63" s="52"/>
      <c r="L63" s="53"/>
      <c r="M63" s="53"/>
      <c r="N63" s="53"/>
      <c r="O63" s="53"/>
      <c r="P63" s="53"/>
      <c r="Q63" s="6"/>
      <c r="R63" s="57"/>
      <c r="S63" s="57"/>
      <c r="T63" s="57"/>
      <c r="U63" s="162" t="s">
        <v>223</v>
      </c>
      <c r="V63" s="58"/>
      <c r="W63" s="162" t="s">
        <v>4</v>
      </c>
      <c r="X63" s="58"/>
      <c r="Y63" s="57"/>
      <c r="Z63" s="57"/>
      <c r="AA63" s="57"/>
      <c r="AB63" s="57"/>
      <c r="AC63" s="57" t="s">
        <v>1</v>
      </c>
      <c r="AD63" s="57" t="s">
        <v>24</v>
      </c>
      <c r="AE63" s="60"/>
      <c r="AF63" s="9"/>
      <c r="CF63" s="3"/>
      <c r="CG63" s="3"/>
    </row>
    <row r="64" spans="2:85" ht="15" customHeight="1">
      <c r="B64" s="7"/>
      <c r="C64" s="53"/>
      <c r="D64" s="53" t="s">
        <v>2</v>
      </c>
      <c r="E64" s="53" t="s">
        <v>24</v>
      </c>
      <c r="F64" s="53"/>
      <c r="G64" s="53"/>
      <c r="H64" s="160"/>
      <c r="I64" s="160"/>
      <c r="J64" s="160"/>
      <c r="K64" s="161"/>
      <c r="L64" s="160"/>
      <c r="M64" s="160"/>
      <c r="N64" s="160"/>
      <c r="O64" s="160"/>
      <c r="P64" s="160"/>
      <c r="R64" s="158"/>
      <c r="S64" s="158"/>
      <c r="T64" s="158"/>
      <c r="U64" s="163" t="s">
        <v>222</v>
      </c>
      <c r="V64" s="159"/>
      <c r="W64" s="162" t="s">
        <v>4</v>
      </c>
      <c r="X64" s="159"/>
      <c r="Y64" s="158"/>
      <c r="Z64" s="158"/>
      <c r="AA64" s="57"/>
      <c r="AB64" s="57"/>
      <c r="AC64" s="57" t="s">
        <v>2</v>
      </c>
      <c r="AD64" s="57" t="s">
        <v>24</v>
      </c>
      <c r="AE64" s="58"/>
      <c r="AF64" s="9"/>
      <c r="CF64" s="3"/>
      <c r="CG64" s="3"/>
    </row>
    <row r="65" spans="2:85" ht="15" customHeight="1">
      <c r="B65" s="7"/>
      <c r="C65" s="53"/>
      <c r="D65" s="53" t="s">
        <v>187</v>
      </c>
      <c r="E65" s="53" t="s">
        <v>24</v>
      </c>
      <c r="F65" s="52" t="str">
        <f>IF(H62&lt;&gt;"",VLOOKUP(H62,'Team Setup'!$B$5:$C$63,2,FALSE),"")</f>
        <v/>
      </c>
      <c r="G65" s="53"/>
      <c r="H65" s="160"/>
      <c r="I65" s="160"/>
      <c r="J65" s="160"/>
      <c r="K65" s="161"/>
      <c r="L65" s="160"/>
      <c r="M65" s="160"/>
      <c r="N65" s="160"/>
      <c r="O65" s="160"/>
      <c r="P65" s="160"/>
      <c r="R65" s="158"/>
      <c r="S65" s="158"/>
      <c r="T65" s="158"/>
      <c r="U65" s="158"/>
      <c r="V65" s="158"/>
      <c r="W65" s="158"/>
      <c r="X65" s="158"/>
      <c r="Y65" s="158"/>
      <c r="Z65" s="158"/>
      <c r="AA65" s="57"/>
      <c r="AB65" s="57"/>
      <c r="AC65" s="57" t="s">
        <v>187</v>
      </c>
      <c r="AD65" s="57" t="s">
        <v>24</v>
      </c>
      <c r="AE65" s="58" t="str">
        <f>IF(Z62&lt;&gt;"",VLOOKUP(Z62,'Team Setup'!$B$5:$C$63,2,FALSE),"")</f>
        <v/>
      </c>
      <c r="AF65" s="9"/>
      <c r="CF65" s="3"/>
      <c r="CG65" s="3"/>
    </row>
    <row r="66" spans="2:85" ht="15" customHeight="1">
      <c r="B66" s="7"/>
      <c r="C66" s="53"/>
      <c r="D66" s="53"/>
      <c r="E66" s="53"/>
      <c r="F66" s="52" t="str">
        <f>IF(H62&lt;&gt;"",VLOOKUP(H62,'Team Setup'!$B$5:$D$63,3,FALSE),"")</f>
        <v/>
      </c>
      <c r="G66" s="53"/>
      <c r="H66" s="17"/>
      <c r="I66" s="17"/>
      <c r="J66" s="17"/>
      <c r="K66" s="156"/>
      <c r="L66" s="17"/>
      <c r="M66" s="17"/>
      <c r="N66" s="17" t="s">
        <v>186</v>
      </c>
      <c r="O66" s="17" t="s">
        <v>24</v>
      </c>
      <c r="P66" s="19" t="str">
        <f>IF(AND(P67&lt;&gt;"",R67&lt;&gt;""),IF(AND(V64&lt;&gt;"",X64&lt;&gt;"",V64&gt;X64),N67&amp;" win on Penalty Kick",IF(AND(V64&lt;&gt;"",X64&lt;&gt;"",V64&lt;X64),T67&amp;" win on Penalty Kick",IF(P67&gt;R67,N67&amp;" win",IF(R67&gt;P67,T67&amp;" win",IF(AND(P67=R67,L62&gt;V62),T67&amp;" win on away goals",IF(AND(P67=R67,L62&lt;V62+V63),N67&amp;" win on away goals","")))))),"")</f>
        <v/>
      </c>
      <c r="Q66" s="19"/>
      <c r="R66" s="19"/>
      <c r="S66" s="17"/>
      <c r="T66" s="17"/>
      <c r="U66" s="17"/>
      <c r="V66" s="17"/>
      <c r="W66" s="17"/>
      <c r="X66" s="17"/>
      <c r="Y66" s="17"/>
      <c r="Z66" s="17"/>
      <c r="AA66" s="57"/>
      <c r="AB66" s="57"/>
      <c r="AC66" s="57"/>
      <c r="AD66" s="57"/>
      <c r="AE66" s="58" t="str">
        <f>IF(Z62&lt;&gt;"",VLOOKUP(Z62,'Team Setup'!$B$5:$D$63,3,FALSE),"")</f>
        <v/>
      </c>
      <c r="AF66" s="9"/>
      <c r="CF66" s="3"/>
      <c r="CG66" s="3"/>
    </row>
    <row r="67" spans="2:85" ht="15" customHeight="1">
      <c r="B67" s="7"/>
      <c r="C67" s="53"/>
      <c r="D67" s="53"/>
      <c r="E67" s="53"/>
      <c r="F67" s="53"/>
      <c r="G67" s="53"/>
      <c r="H67" s="6"/>
      <c r="I67" s="6"/>
      <c r="J67" s="157"/>
      <c r="K67" s="20"/>
      <c r="L67" s="21"/>
      <c r="M67" s="157"/>
      <c r="N67" s="22" t="str">
        <f>H62</f>
        <v/>
      </c>
      <c r="O67" s="4"/>
      <c r="P67" s="23" t="str">
        <f>IF(AND(L62&lt;&gt;"",V62&lt;&gt;"",X62&lt;&gt;"",J62&lt;&gt;""),J62+V62+V63,"")</f>
        <v/>
      </c>
      <c r="Q67" s="24" t="s">
        <v>4</v>
      </c>
      <c r="R67" s="23" t="str">
        <f>IF(AND(L62&lt;&gt;"",V62&lt;&gt;"",X62&lt;&gt;"",J62&lt;&gt;""),L62+X62+X63,"")</f>
        <v/>
      </c>
      <c r="S67" s="4"/>
      <c r="T67" s="4" t="str">
        <f>Z62</f>
        <v/>
      </c>
      <c r="U67" s="6"/>
      <c r="V67" s="6"/>
      <c r="W67" s="6"/>
      <c r="X67" s="6"/>
      <c r="Y67" s="6"/>
      <c r="Z67" s="6"/>
      <c r="AA67" s="57"/>
      <c r="AB67" s="57"/>
      <c r="AC67" s="57"/>
      <c r="AD67" s="57"/>
      <c r="AE67" s="57"/>
      <c r="AF67" s="9"/>
      <c r="CF67" s="3"/>
      <c r="CG67" s="3"/>
    </row>
    <row r="68" spans="2:85" ht="15" customHeight="1">
      <c r="B68" s="7"/>
      <c r="G68" s="6"/>
      <c r="H68" s="6"/>
      <c r="I68" s="6"/>
      <c r="J68" s="6"/>
      <c r="K68" s="8"/>
      <c r="L68" s="6"/>
      <c r="M68" s="6"/>
      <c r="N68" s="6"/>
      <c r="O68" s="6"/>
      <c r="P68" s="6"/>
      <c r="Q68" s="6"/>
      <c r="R68" s="6"/>
      <c r="S68" s="6"/>
      <c r="T68" s="6"/>
      <c r="U68" s="6"/>
      <c r="V68" s="6"/>
      <c r="W68" s="6"/>
      <c r="X68" s="6"/>
      <c r="Y68" s="6"/>
      <c r="Z68" s="6"/>
      <c r="AA68" s="6"/>
      <c r="AD68" s="6"/>
      <c r="AE68" s="6"/>
      <c r="AF68" s="9"/>
      <c r="CF68" s="3"/>
      <c r="CG68" s="3"/>
    </row>
    <row r="69" spans="2:85" ht="15" customHeight="1">
      <c r="B69" s="7"/>
      <c r="C69" s="234" t="s">
        <v>185</v>
      </c>
      <c r="D69" s="234"/>
      <c r="E69" s="234"/>
      <c r="F69" s="234"/>
      <c r="G69" s="234"/>
      <c r="H69" s="234"/>
      <c r="I69" s="234"/>
      <c r="J69" s="234"/>
      <c r="K69" s="234"/>
      <c r="L69" s="234"/>
      <c r="M69" s="234"/>
      <c r="N69" s="234"/>
      <c r="O69" s="234"/>
      <c r="P69" s="234"/>
      <c r="Q69" s="6"/>
      <c r="R69" s="235" t="s">
        <v>184</v>
      </c>
      <c r="S69" s="235"/>
      <c r="T69" s="235"/>
      <c r="U69" s="235"/>
      <c r="V69" s="235"/>
      <c r="W69" s="235"/>
      <c r="X69" s="235"/>
      <c r="Y69" s="235"/>
      <c r="Z69" s="235"/>
      <c r="AA69" s="235"/>
      <c r="AB69" s="235"/>
      <c r="AC69" s="235"/>
      <c r="AD69" s="235"/>
      <c r="AE69" s="235"/>
      <c r="AF69" s="9"/>
      <c r="CF69" s="3"/>
      <c r="CG69" s="3"/>
    </row>
    <row r="70" spans="2:85" ht="15" customHeight="1">
      <c r="B70" s="7"/>
      <c r="C70" s="51"/>
      <c r="D70" s="51"/>
      <c r="E70" s="51"/>
      <c r="F70" s="51"/>
      <c r="G70" s="51"/>
      <c r="H70" s="51"/>
      <c r="I70" s="51"/>
      <c r="J70" s="51"/>
      <c r="K70" s="51"/>
      <c r="L70" s="51"/>
      <c r="M70" s="51"/>
      <c r="N70" s="51"/>
      <c r="O70" s="51"/>
      <c r="P70" s="51"/>
      <c r="Q70" s="4"/>
      <c r="R70" s="57"/>
      <c r="S70" s="57"/>
      <c r="T70" s="57"/>
      <c r="U70" s="57"/>
      <c r="V70" s="57"/>
      <c r="W70" s="57"/>
      <c r="X70" s="57"/>
      <c r="Y70" s="57"/>
      <c r="Z70" s="57"/>
      <c r="AA70" s="57"/>
      <c r="AB70" s="57"/>
      <c r="AC70" s="57"/>
      <c r="AD70" s="57"/>
      <c r="AE70" s="57"/>
      <c r="AF70" s="9"/>
      <c r="CF70" s="3"/>
      <c r="CG70" s="3"/>
    </row>
    <row r="71" spans="2:85" ht="15" customHeight="1">
      <c r="B71" s="7"/>
      <c r="C71" s="53"/>
      <c r="D71" s="53" t="s">
        <v>16</v>
      </c>
      <c r="E71" s="53" t="s">
        <v>24</v>
      </c>
      <c r="F71" s="54">
        <v>8</v>
      </c>
      <c r="G71" s="55"/>
      <c r="H71" s="68" t="str">
        <f>IF(ISNA(VLOOKUP(F71,'Group Stages'!$V$131:$X$148,3,FALSE)),"",VLOOKUP(F71,'Group Stages'!$V$131:$X$148,3,FALSE))</f>
        <v/>
      </c>
      <c r="I71" s="53"/>
      <c r="J71" s="52"/>
      <c r="K71" s="52" t="s">
        <v>4</v>
      </c>
      <c r="L71" s="52"/>
      <c r="M71" s="53"/>
      <c r="N71" s="69" t="str">
        <f>Z71</f>
        <v/>
      </c>
      <c r="O71" s="53"/>
      <c r="P71" s="53"/>
      <c r="Q71" s="6"/>
      <c r="R71" s="57"/>
      <c r="S71" s="57"/>
      <c r="T71" s="66" t="str">
        <f>H71</f>
        <v/>
      </c>
      <c r="U71" s="57"/>
      <c r="V71" s="58"/>
      <c r="W71" s="58" t="s">
        <v>4</v>
      </c>
      <c r="X71" s="58"/>
      <c r="Y71" s="57"/>
      <c r="Z71" s="67" t="str">
        <f>IF(ISNA(VLOOKUP(AE71,'Group Stages'!$V$111:$X$128,3,FALSE)),"",VLOOKUP(AE71,'Group Stages'!$V$111:$X$128,3,FALSE))</f>
        <v/>
      </c>
      <c r="AA71" s="57"/>
      <c r="AB71" s="57"/>
      <c r="AC71" s="57" t="s">
        <v>16</v>
      </c>
      <c r="AD71" s="57" t="s">
        <v>24</v>
      </c>
      <c r="AE71" s="59">
        <f>F71</f>
        <v>8</v>
      </c>
      <c r="AF71" s="9"/>
      <c r="CF71" s="3"/>
      <c r="CG71" s="3"/>
    </row>
    <row r="72" spans="2:85" ht="15" customHeight="1">
      <c r="B72" s="7"/>
      <c r="C72" s="53"/>
      <c r="D72" s="53" t="s">
        <v>1</v>
      </c>
      <c r="E72" s="53" t="s">
        <v>24</v>
      </c>
      <c r="F72" s="56"/>
      <c r="G72" s="53"/>
      <c r="H72" s="53"/>
      <c r="I72" s="53"/>
      <c r="J72" s="53"/>
      <c r="K72" s="52"/>
      <c r="L72" s="53"/>
      <c r="M72" s="53"/>
      <c r="N72" s="53"/>
      <c r="O72" s="53"/>
      <c r="P72" s="53"/>
      <c r="Q72" s="6"/>
      <c r="R72" s="57"/>
      <c r="S72" s="57"/>
      <c r="T72" s="57"/>
      <c r="U72" s="162" t="s">
        <v>223</v>
      </c>
      <c r="V72" s="58"/>
      <c r="W72" s="162" t="s">
        <v>4</v>
      </c>
      <c r="X72" s="58"/>
      <c r="Y72" s="57"/>
      <c r="Z72" s="57"/>
      <c r="AA72" s="57"/>
      <c r="AB72" s="57"/>
      <c r="AC72" s="57" t="s">
        <v>1</v>
      </c>
      <c r="AD72" s="57" t="s">
        <v>24</v>
      </c>
      <c r="AE72" s="60"/>
      <c r="AF72" s="9"/>
      <c r="CF72" s="3"/>
      <c r="CG72" s="3"/>
    </row>
    <row r="73" spans="2:85" ht="15" customHeight="1">
      <c r="B73" s="7"/>
      <c r="C73" s="53"/>
      <c r="D73" s="53" t="s">
        <v>2</v>
      </c>
      <c r="E73" s="53" t="s">
        <v>24</v>
      </c>
      <c r="F73" s="53"/>
      <c r="G73" s="53"/>
      <c r="H73" s="160"/>
      <c r="I73" s="160"/>
      <c r="J73" s="160"/>
      <c r="K73" s="161"/>
      <c r="L73" s="160"/>
      <c r="M73" s="160"/>
      <c r="N73" s="160"/>
      <c r="O73" s="160"/>
      <c r="P73" s="160"/>
      <c r="R73" s="158"/>
      <c r="S73" s="158"/>
      <c r="T73" s="158"/>
      <c r="U73" s="163" t="s">
        <v>222</v>
      </c>
      <c r="V73" s="159"/>
      <c r="W73" s="162" t="s">
        <v>4</v>
      </c>
      <c r="X73" s="159"/>
      <c r="Y73" s="158"/>
      <c r="Z73" s="158"/>
      <c r="AA73" s="57"/>
      <c r="AB73" s="57"/>
      <c r="AC73" s="57" t="s">
        <v>2</v>
      </c>
      <c r="AD73" s="57" t="s">
        <v>24</v>
      </c>
      <c r="AE73" s="58"/>
      <c r="AF73" s="9"/>
      <c r="CF73" s="3"/>
      <c r="CG73" s="3"/>
    </row>
    <row r="74" spans="2:85" ht="15" customHeight="1">
      <c r="B74" s="7"/>
      <c r="C74" s="53"/>
      <c r="D74" s="53" t="s">
        <v>187</v>
      </c>
      <c r="E74" s="53" t="s">
        <v>24</v>
      </c>
      <c r="F74" s="52" t="str">
        <f>IF(H71&lt;&gt;"",VLOOKUP(H71,'Team Setup'!$B$5:$C$63,2,FALSE),"")</f>
        <v/>
      </c>
      <c r="G74" s="53"/>
      <c r="H74" s="160"/>
      <c r="I74" s="160"/>
      <c r="J74" s="160"/>
      <c r="K74" s="161"/>
      <c r="L74" s="160"/>
      <c r="M74" s="160"/>
      <c r="N74" s="160"/>
      <c r="O74" s="160"/>
      <c r="P74" s="160"/>
      <c r="R74" s="158"/>
      <c r="S74" s="158"/>
      <c r="T74" s="158"/>
      <c r="U74" s="158"/>
      <c r="V74" s="158"/>
      <c r="W74" s="158"/>
      <c r="X74" s="158"/>
      <c r="Y74" s="158"/>
      <c r="Z74" s="158"/>
      <c r="AA74" s="57"/>
      <c r="AB74" s="57"/>
      <c r="AC74" s="57" t="s">
        <v>187</v>
      </c>
      <c r="AD74" s="57" t="s">
        <v>24</v>
      </c>
      <c r="AE74" s="58" t="str">
        <f>IF(Z71&lt;&gt;"",VLOOKUP(Z71,'Team Setup'!$B$5:$C$63,2,FALSE),"")</f>
        <v/>
      </c>
      <c r="AF74" s="9"/>
      <c r="CF74" s="3"/>
      <c r="CG74" s="3"/>
    </row>
    <row r="75" spans="2:85" ht="15" customHeight="1">
      <c r="B75" s="7"/>
      <c r="C75" s="53"/>
      <c r="D75" s="53"/>
      <c r="E75" s="53"/>
      <c r="F75" s="52" t="str">
        <f>IF(H71&lt;&gt;"",VLOOKUP(H71,'Team Setup'!$B$5:$D$63,3,FALSE),"")</f>
        <v/>
      </c>
      <c r="G75" s="53"/>
      <c r="H75" s="17"/>
      <c r="I75" s="17"/>
      <c r="J75" s="17"/>
      <c r="K75" s="156"/>
      <c r="L75" s="17"/>
      <c r="M75" s="17"/>
      <c r="N75" s="17" t="s">
        <v>186</v>
      </c>
      <c r="O75" s="17" t="s">
        <v>24</v>
      </c>
      <c r="P75" s="19" t="str">
        <f>IF(AND(P76&lt;&gt;"",R76&lt;&gt;""),IF(AND(V73&lt;&gt;"",X73&lt;&gt;"",V73&gt;X73),N76&amp;" win on Penalty Kick",IF(AND(V73&lt;&gt;"",X73&lt;&gt;"",V73&lt;X73),T76&amp;" win on Penalty Kick",IF(P76&gt;R76,N76&amp;" win",IF(R76&gt;P76,T76&amp;" win",IF(AND(P76=R76,L71&gt;V71),T76&amp;" win on away goals",IF(AND(P76=R76,L71&lt;V71+V72),N76&amp;" win on away goals","")))))),"")</f>
        <v/>
      </c>
      <c r="Q75" s="19"/>
      <c r="R75" s="19"/>
      <c r="S75" s="17"/>
      <c r="T75" s="17"/>
      <c r="U75" s="17"/>
      <c r="V75" s="17"/>
      <c r="W75" s="17"/>
      <c r="X75" s="17"/>
      <c r="Y75" s="17"/>
      <c r="Z75" s="17"/>
      <c r="AA75" s="57"/>
      <c r="AB75" s="57"/>
      <c r="AC75" s="57"/>
      <c r="AD75" s="57"/>
      <c r="AE75" s="58" t="str">
        <f>IF(Z71&lt;&gt;"",VLOOKUP(Z71,'Team Setup'!$B$5:$D$63,3,FALSE),"")</f>
        <v/>
      </c>
      <c r="AF75" s="9"/>
      <c r="CF75" s="3"/>
      <c r="CG75" s="3"/>
    </row>
    <row r="76" spans="2:85" ht="15" customHeight="1">
      <c r="B76" s="7"/>
      <c r="C76" s="53"/>
      <c r="D76" s="53"/>
      <c r="E76" s="53"/>
      <c r="F76" s="53"/>
      <c r="G76" s="53"/>
      <c r="H76" s="6"/>
      <c r="I76" s="6"/>
      <c r="J76" s="157"/>
      <c r="K76" s="20"/>
      <c r="L76" s="21"/>
      <c r="M76" s="157"/>
      <c r="N76" s="22" t="str">
        <f>H71</f>
        <v/>
      </c>
      <c r="O76" s="4"/>
      <c r="P76" s="23" t="str">
        <f>IF(AND(L71&lt;&gt;"",V71&lt;&gt;"",X71&lt;&gt;"",J71&lt;&gt;""),J71+V71+V72,"")</f>
        <v/>
      </c>
      <c r="Q76" s="24" t="s">
        <v>4</v>
      </c>
      <c r="R76" s="23" t="str">
        <f>IF(AND(L71&lt;&gt;"",V71&lt;&gt;"",X71&lt;&gt;"",J71&lt;&gt;""),L71+X71+X72,"")</f>
        <v/>
      </c>
      <c r="S76" s="4"/>
      <c r="T76" s="4" t="str">
        <f>Z71</f>
        <v/>
      </c>
      <c r="U76" s="6"/>
      <c r="V76" s="6"/>
      <c r="W76" s="6"/>
      <c r="X76" s="6"/>
      <c r="Y76" s="6"/>
      <c r="Z76" s="6"/>
      <c r="AA76" s="57"/>
      <c r="AB76" s="57"/>
      <c r="AC76" s="57"/>
      <c r="AD76" s="57"/>
      <c r="AE76" s="57"/>
      <c r="AF76" s="9"/>
      <c r="CF76" s="3"/>
      <c r="CG76" s="3"/>
    </row>
    <row r="77" spans="2:85" ht="15" customHeight="1">
      <c r="B77" s="7"/>
      <c r="G77" s="6"/>
      <c r="H77" s="6"/>
      <c r="I77" s="6"/>
      <c r="J77" s="6"/>
      <c r="K77" s="8"/>
      <c r="L77" s="6"/>
      <c r="M77" s="6"/>
      <c r="N77" s="6"/>
      <c r="O77" s="6"/>
      <c r="P77" s="6"/>
      <c r="Q77" s="6"/>
      <c r="R77" s="6"/>
      <c r="S77" s="6"/>
      <c r="T77" s="6"/>
      <c r="U77" s="6"/>
      <c r="V77" s="6"/>
      <c r="W77" s="6"/>
      <c r="X77" s="6"/>
      <c r="Y77" s="6"/>
      <c r="Z77" s="6"/>
      <c r="AA77" s="6"/>
      <c r="AD77" s="6"/>
      <c r="AE77" s="6"/>
      <c r="AF77" s="9"/>
      <c r="CF77" s="3"/>
      <c r="CG77" s="3"/>
    </row>
    <row r="78" spans="2:85" ht="15" customHeight="1">
      <c r="B78" s="7"/>
      <c r="C78" s="241" t="s">
        <v>185</v>
      </c>
      <c r="D78" s="241"/>
      <c r="E78" s="241"/>
      <c r="F78" s="241"/>
      <c r="G78" s="241"/>
      <c r="H78" s="241"/>
      <c r="I78" s="241"/>
      <c r="J78" s="241"/>
      <c r="K78" s="241"/>
      <c r="L78" s="241"/>
      <c r="M78" s="241"/>
      <c r="N78" s="241"/>
      <c r="O78" s="241"/>
      <c r="P78" s="241"/>
      <c r="Q78" s="6"/>
      <c r="R78" s="242" t="s">
        <v>184</v>
      </c>
      <c r="S78" s="242"/>
      <c r="T78" s="242"/>
      <c r="U78" s="242"/>
      <c r="V78" s="242"/>
      <c r="W78" s="242"/>
      <c r="X78" s="242"/>
      <c r="Y78" s="242"/>
      <c r="Z78" s="242"/>
      <c r="AA78" s="242"/>
      <c r="AB78" s="242"/>
      <c r="AC78" s="242"/>
      <c r="AD78" s="242"/>
      <c r="AE78" s="242"/>
      <c r="AF78" s="9"/>
      <c r="CF78" s="3"/>
      <c r="CG78" s="3"/>
    </row>
    <row r="79" spans="2:85" s="12" customFormat="1" ht="15" customHeight="1">
      <c r="B79" s="10"/>
      <c r="C79" s="51"/>
      <c r="D79" s="51"/>
      <c r="E79" s="51"/>
      <c r="F79" s="51"/>
      <c r="G79" s="51"/>
      <c r="H79" s="52" t="s">
        <v>217</v>
      </c>
      <c r="I79" s="51"/>
      <c r="J79" s="51"/>
      <c r="K79" s="51"/>
      <c r="L79" s="51"/>
      <c r="M79" s="51"/>
      <c r="N79" s="52" t="s">
        <v>218</v>
      </c>
      <c r="O79" s="51"/>
      <c r="P79" s="51"/>
      <c r="Q79" s="4"/>
      <c r="R79" s="57"/>
      <c r="S79" s="57"/>
      <c r="T79" s="58" t="s">
        <v>218</v>
      </c>
      <c r="U79" s="57"/>
      <c r="V79" s="57"/>
      <c r="W79" s="57"/>
      <c r="X79" s="57"/>
      <c r="Y79" s="57"/>
      <c r="Z79" s="58" t="s">
        <v>217</v>
      </c>
      <c r="AA79" s="57"/>
      <c r="AB79" s="57"/>
      <c r="AC79" s="57"/>
      <c r="AD79" s="57"/>
      <c r="AE79" s="57"/>
      <c r="AF79" s="11"/>
      <c r="CF79" s="13"/>
      <c r="CG79" s="13"/>
    </row>
    <row r="80" spans="2:85" ht="15" customHeight="1">
      <c r="B80" s="7"/>
      <c r="C80" s="53"/>
      <c r="D80" s="53" t="s">
        <v>16</v>
      </c>
      <c r="E80" s="53" t="s">
        <v>24</v>
      </c>
      <c r="F80" s="54">
        <v>9</v>
      </c>
      <c r="G80" s="55"/>
      <c r="H80" s="71" t="str">
        <f>IF(ISNA(VLOOKUP(F80,'Group Stages'!$V$131:$X$148,3,FALSE)),"",VLOOKUP(F80,'Group Stages'!$V$131:$X$148,3,FALSE))</f>
        <v/>
      </c>
      <c r="I80" s="53"/>
      <c r="J80" s="52"/>
      <c r="K80" s="52" t="s">
        <v>4</v>
      </c>
      <c r="L80" s="52"/>
      <c r="M80" s="53"/>
      <c r="N80" s="71" t="str">
        <f>Z80</f>
        <v/>
      </c>
      <c r="O80" s="53"/>
      <c r="P80" s="53"/>
      <c r="Q80" s="6"/>
      <c r="R80" s="57"/>
      <c r="S80" s="57"/>
      <c r="T80" s="72" t="str">
        <f>H80</f>
        <v/>
      </c>
      <c r="U80" s="57"/>
      <c r="V80" s="58"/>
      <c r="W80" s="58" t="s">
        <v>4</v>
      </c>
      <c r="X80" s="58"/>
      <c r="Y80" s="57"/>
      <c r="Z80" s="182" t="str">
        <f>IF(ISNA(VLOOKUP(AE80,'Group Stages'!$V$111:$X$128,3,FALSE)),"",VLOOKUP(AE80,'Group Stages'!$V$111:$X$128,3,FALSE))</f>
        <v/>
      </c>
      <c r="AA80" s="57"/>
      <c r="AB80" s="57"/>
      <c r="AC80" s="57" t="s">
        <v>16</v>
      </c>
      <c r="AD80" s="57" t="s">
        <v>24</v>
      </c>
      <c r="AE80" s="59">
        <f>F80</f>
        <v>9</v>
      </c>
      <c r="AF80" s="9"/>
      <c r="CF80" s="3"/>
      <c r="CG80" s="3"/>
    </row>
    <row r="81" spans="2:85" ht="15" customHeight="1">
      <c r="B81" s="7"/>
      <c r="C81" s="53"/>
      <c r="D81" s="53" t="s">
        <v>1</v>
      </c>
      <c r="E81" s="53" t="s">
        <v>24</v>
      </c>
      <c r="F81" s="56"/>
      <c r="G81" s="53"/>
      <c r="H81" s="53"/>
      <c r="I81" s="53"/>
      <c r="J81" s="53"/>
      <c r="K81" s="52"/>
      <c r="L81" s="53"/>
      <c r="M81" s="53"/>
      <c r="N81" s="53"/>
      <c r="O81" s="53"/>
      <c r="P81" s="53"/>
      <c r="Q81" s="6"/>
      <c r="R81" s="57"/>
      <c r="S81" s="57"/>
      <c r="T81" s="57"/>
      <c r="U81" s="162" t="s">
        <v>223</v>
      </c>
      <c r="V81" s="58"/>
      <c r="W81" s="162" t="s">
        <v>4</v>
      </c>
      <c r="X81" s="58"/>
      <c r="Y81" s="57"/>
      <c r="Z81" s="57"/>
      <c r="AA81" s="57"/>
      <c r="AB81" s="57"/>
      <c r="AC81" s="57" t="s">
        <v>1</v>
      </c>
      <c r="AD81" s="57" t="s">
        <v>24</v>
      </c>
      <c r="AE81" s="60"/>
      <c r="AF81" s="9"/>
      <c r="CF81" s="3"/>
      <c r="CG81" s="3"/>
    </row>
    <row r="82" spans="2:85" ht="15" customHeight="1">
      <c r="B82" s="7"/>
      <c r="C82" s="53"/>
      <c r="D82" s="53" t="s">
        <v>2</v>
      </c>
      <c r="E82" s="53" t="s">
        <v>24</v>
      </c>
      <c r="F82" s="53"/>
      <c r="G82" s="53"/>
      <c r="H82" s="160"/>
      <c r="I82" s="160"/>
      <c r="J82" s="160"/>
      <c r="K82" s="161"/>
      <c r="L82" s="160"/>
      <c r="M82" s="160"/>
      <c r="N82" s="160"/>
      <c r="O82" s="160"/>
      <c r="P82" s="160"/>
      <c r="R82" s="158"/>
      <c r="S82" s="158"/>
      <c r="T82" s="158"/>
      <c r="U82" s="163" t="s">
        <v>222</v>
      </c>
      <c r="V82" s="159"/>
      <c r="W82" s="162" t="s">
        <v>4</v>
      </c>
      <c r="X82" s="159"/>
      <c r="Y82" s="158"/>
      <c r="Z82" s="158"/>
      <c r="AA82" s="57"/>
      <c r="AB82" s="57"/>
      <c r="AC82" s="57" t="s">
        <v>2</v>
      </c>
      <c r="AD82" s="57" t="s">
        <v>24</v>
      </c>
      <c r="AE82" s="58"/>
      <c r="AF82" s="9"/>
      <c r="CF82" s="3"/>
      <c r="CG82" s="3"/>
    </row>
    <row r="83" spans="2:85" ht="15" customHeight="1">
      <c r="B83" s="7"/>
      <c r="C83" s="53"/>
      <c r="D83" s="53" t="s">
        <v>187</v>
      </c>
      <c r="E83" s="53" t="s">
        <v>24</v>
      </c>
      <c r="F83" s="52" t="str">
        <f>IF(H80&lt;&gt;"",VLOOKUP(H80,'Team Setup'!$B$5:$C$63,2,FALSE),"")</f>
        <v/>
      </c>
      <c r="G83" s="53"/>
      <c r="H83" s="160"/>
      <c r="I83" s="160"/>
      <c r="J83" s="160"/>
      <c r="K83" s="161"/>
      <c r="L83" s="160"/>
      <c r="M83" s="160"/>
      <c r="N83" s="160"/>
      <c r="O83" s="160"/>
      <c r="P83" s="160"/>
      <c r="R83" s="158"/>
      <c r="S83" s="158"/>
      <c r="T83" s="158"/>
      <c r="U83" s="158"/>
      <c r="V83" s="158"/>
      <c r="W83" s="158"/>
      <c r="X83" s="158"/>
      <c r="Y83" s="158"/>
      <c r="Z83" s="158"/>
      <c r="AA83" s="57"/>
      <c r="AB83" s="57"/>
      <c r="AC83" s="57" t="s">
        <v>187</v>
      </c>
      <c r="AD83" s="57" t="s">
        <v>24</v>
      </c>
      <c r="AE83" s="58" t="str">
        <f>IF(Z80&lt;&gt;"",VLOOKUP(Z80,'Team Setup'!$B$5:$C$63,2,FALSE),"")</f>
        <v/>
      </c>
      <c r="AF83" s="9"/>
      <c r="CF83" s="3"/>
      <c r="CG83" s="3"/>
    </row>
    <row r="84" spans="2:85" ht="15" customHeight="1">
      <c r="B84" s="7"/>
      <c r="C84" s="53"/>
      <c r="D84" s="53"/>
      <c r="E84" s="53"/>
      <c r="F84" s="52" t="str">
        <f>IF(H80&lt;&gt;"",VLOOKUP(H80,'Team Setup'!$B$5:$D$63,3,FALSE),"")</f>
        <v/>
      </c>
      <c r="G84" s="53"/>
      <c r="H84" s="17"/>
      <c r="I84" s="17"/>
      <c r="J84" s="17"/>
      <c r="K84" s="170"/>
      <c r="L84" s="17"/>
      <c r="M84" s="17"/>
      <c r="N84" s="17" t="s">
        <v>186</v>
      </c>
      <c r="O84" s="17" t="s">
        <v>24</v>
      </c>
      <c r="P84" s="19" t="str">
        <f>IF(AND(P85&lt;&gt;"",R85&lt;&gt;""),IF(AND(V82&lt;&gt;"",X82&lt;&gt;"",V82&gt;X82),N85&amp;" win on Penalty Kick",IF(AND(V82&lt;&gt;"",X82&lt;&gt;"",V82&lt;X82),T85&amp;" win on Penalty Kick",IF(P85&gt;R85,N85&amp;" win",IF(R85&gt;P85,T85&amp;" win",IF(AND(P85=R85,L80&gt;V80),T85&amp;" win on away goals",IF(AND(P85=R85,L80&lt;V80+V81),N85&amp;" win on away goals","")))))),"")</f>
        <v/>
      </c>
      <c r="Q84" s="19"/>
      <c r="R84" s="19"/>
      <c r="S84" s="17"/>
      <c r="T84" s="17"/>
      <c r="U84" s="17"/>
      <c r="V84" s="17"/>
      <c r="W84" s="17"/>
      <c r="X84" s="17"/>
      <c r="Y84" s="17"/>
      <c r="Z84" s="17"/>
      <c r="AA84" s="57"/>
      <c r="AB84" s="57"/>
      <c r="AC84" s="57"/>
      <c r="AD84" s="57"/>
      <c r="AE84" s="58" t="str">
        <f>IF(Z80&lt;&gt;"",VLOOKUP(Z80,'Team Setup'!$B$5:$D$63,3,FALSE),"")</f>
        <v/>
      </c>
      <c r="AF84" s="9"/>
      <c r="CF84" s="3"/>
      <c r="CG84" s="3"/>
    </row>
    <row r="85" spans="2:85" ht="15" customHeight="1">
      <c r="B85" s="7"/>
      <c r="C85" s="53"/>
      <c r="D85" s="53"/>
      <c r="E85" s="53"/>
      <c r="F85" s="53"/>
      <c r="G85" s="53"/>
      <c r="H85" s="6"/>
      <c r="I85" s="6"/>
      <c r="J85" s="169"/>
      <c r="K85" s="20"/>
      <c r="L85" s="21"/>
      <c r="M85" s="169"/>
      <c r="N85" s="22" t="str">
        <f>H80</f>
        <v/>
      </c>
      <c r="O85" s="4"/>
      <c r="P85" s="23" t="str">
        <f>IF(AND(L80&lt;&gt;"",V80&lt;&gt;"",X80&lt;&gt;"",J80&lt;&gt;""),J80+V80+V81,"")</f>
        <v/>
      </c>
      <c r="Q85" s="24" t="s">
        <v>4</v>
      </c>
      <c r="R85" s="23" t="str">
        <f>IF(AND(L80&lt;&gt;"",V80&lt;&gt;"",X80&lt;&gt;"",J80&lt;&gt;""),L80+X80+X81,"")</f>
        <v/>
      </c>
      <c r="S85" s="4"/>
      <c r="T85" s="4" t="str">
        <f>Z80</f>
        <v/>
      </c>
      <c r="U85" s="6"/>
      <c r="V85" s="6"/>
      <c r="W85" s="6"/>
      <c r="X85" s="6"/>
      <c r="Y85" s="6"/>
      <c r="Z85" s="6"/>
      <c r="AA85" s="57"/>
      <c r="AB85" s="57"/>
      <c r="AC85" s="57"/>
      <c r="AD85" s="57"/>
      <c r="AE85" s="57"/>
      <c r="AF85" s="9"/>
      <c r="CF85" s="3"/>
      <c r="CG85" s="3"/>
    </row>
    <row r="86" spans="2:85" ht="15" customHeight="1">
      <c r="B86" s="7"/>
      <c r="G86" s="6"/>
      <c r="H86" s="6"/>
      <c r="I86" s="6"/>
      <c r="J86" s="6"/>
      <c r="K86" s="25"/>
      <c r="L86" s="21"/>
      <c r="M86" s="6"/>
      <c r="N86" s="6"/>
      <c r="O86" s="6"/>
      <c r="P86" s="6"/>
      <c r="Q86" s="6"/>
      <c r="R86" s="6"/>
      <c r="S86" s="6"/>
      <c r="T86" s="6"/>
      <c r="U86" s="6"/>
      <c r="V86" s="6"/>
      <c r="W86" s="6"/>
      <c r="X86" s="6"/>
      <c r="Y86" s="6"/>
      <c r="Z86" s="6"/>
      <c r="AA86" s="6"/>
      <c r="AD86" s="6"/>
      <c r="AE86" s="6"/>
      <c r="AF86" s="9"/>
      <c r="CF86" s="3"/>
      <c r="CG86" s="3"/>
    </row>
    <row r="87" spans="2:85" ht="15" customHeight="1">
      <c r="B87" s="7"/>
      <c r="C87" s="243" t="s">
        <v>185</v>
      </c>
      <c r="D87" s="243"/>
      <c r="E87" s="243"/>
      <c r="F87" s="243"/>
      <c r="G87" s="243"/>
      <c r="H87" s="243"/>
      <c r="I87" s="243"/>
      <c r="J87" s="243"/>
      <c r="K87" s="243"/>
      <c r="L87" s="243"/>
      <c r="M87" s="243"/>
      <c r="N87" s="243"/>
      <c r="O87" s="243"/>
      <c r="P87" s="243"/>
      <c r="Q87" s="50"/>
      <c r="R87" s="242" t="s">
        <v>184</v>
      </c>
      <c r="S87" s="242"/>
      <c r="T87" s="242"/>
      <c r="U87" s="242"/>
      <c r="V87" s="242"/>
      <c r="W87" s="242"/>
      <c r="X87" s="242"/>
      <c r="Y87" s="242"/>
      <c r="Z87" s="242"/>
      <c r="AA87" s="242"/>
      <c r="AB87" s="242"/>
      <c r="AC87" s="242"/>
      <c r="AD87" s="242"/>
      <c r="AE87" s="242"/>
      <c r="AF87" s="9"/>
      <c r="CF87" s="3"/>
      <c r="CG87" s="3"/>
    </row>
    <row r="88" spans="2:85" ht="15" customHeight="1">
      <c r="B88" s="7"/>
      <c r="C88" s="51"/>
      <c r="D88" s="51"/>
      <c r="E88" s="51"/>
      <c r="F88" s="51"/>
      <c r="G88" s="51"/>
      <c r="H88" s="51"/>
      <c r="I88" s="51"/>
      <c r="J88" s="51"/>
      <c r="K88" s="51"/>
      <c r="L88" s="51"/>
      <c r="M88" s="51"/>
      <c r="N88" s="51"/>
      <c r="O88" s="51"/>
      <c r="P88" s="51"/>
      <c r="Q88" s="4"/>
      <c r="R88" s="57"/>
      <c r="S88" s="57"/>
      <c r="T88" s="57"/>
      <c r="U88" s="57"/>
      <c r="V88" s="57"/>
      <c r="W88" s="57"/>
      <c r="X88" s="57"/>
      <c r="Y88" s="57"/>
      <c r="Z88" s="57"/>
      <c r="AA88" s="57"/>
      <c r="AB88" s="57"/>
      <c r="AC88" s="57"/>
      <c r="AD88" s="57"/>
      <c r="AE88" s="57"/>
      <c r="AF88" s="9"/>
      <c r="CF88" s="3"/>
      <c r="CG88" s="3"/>
    </row>
    <row r="89" spans="2:85" ht="15" customHeight="1">
      <c r="B89" s="7"/>
      <c r="C89" s="53"/>
      <c r="D89" s="53" t="s">
        <v>16</v>
      </c>
      <c r="E89" s="53" t="s">
        <v>24</v>
      </c>
      <c r="F89" s="54">
        <v>10</v>
      </c>
      <c r="G89" s="55"/>
      <c r="H89" s="68" t="str">
        <f>IF(ISNA(VLOOKUP(F89,'Group Stages'!$V$131:$X$148,3,FALSE)),"",VLOOKUP(F89,'Group Stages'!$V$131:$X$148,3,FALSE))</f>
        <v/>
      </c>
      <c r="I89" s="53"/>
      <c r="J89" s="52"/>
      <c r="K89" s="52" t="s">
        <v>4</v>
      </c>
      <c r="L89" s="52"/>
      <c r="M89" s="53"/>
      <c r="N89" s="69" t="str">
        <f>Z89</f>
        <v/>
      </c>
      <c r="O89" s="53"/>
      <c r="P89" s="53"/>
      <c r="Q89" s="6"/>
      <c r="R89" s="57"/>
      <c r="S89" s="57"/>
      <c r="T89" s="66" t="str">
        <f>H89</f>
        <v/>
      </c>
      <c r="U89" s="57"/>
      <c r="V89" s="58"/>
      <c r="W89" s="58" t="s">
        <v>4</v>
      </c>
      <c r="X89" s="58"/>
      <c r="Y89" s="57"/>
      <c r="Z89" s="67" t="str">
        <f>IF(ISNA(VLOOKUP(AE89,'Group Stages'!$V$111:$X$128,3,FALSE)),"",VLOOKUP(AE89,'Group Stages'!$V$111:$X$128,3,FALSE))</f>
        <v/>
      </c>
      <c r="AA89" s="57"/>
      <c r="AB89" s="57"/>
      <c r="AC89" s="57" t="s">
        <v>16</v>
      </c>
      <c r="AD89" s="57" t="s">
        <v>24</v>
      </c>
      <c r="AE89" s="59">
        <f>F89</f>
        <v>10</v>
      </c>
      <c r="AF89" s="9"/>
      <c r="CF89" s="3"/>
      <c r="CG89" s="3"/>
    </row>
    <row r="90" spans="2:85" ht="15" customHeight="1">
      <c r="B90" s="7"/>
      <c r="C90" s="53"/>
      <c r="D90" s="53" t="s">
        <v>1</v>
      </c>
      <c r="E90" s="53" t="s">
        <v>24</v>
      </c>
      <c r="F90" s="56"/>
      <c r="G90" s="53"/>
      <c r="H90" s="53"/>
      <c r="I90" s="53"/>
      <c r="J90" s="53"/>
      <c r="K90" s="52"/>
      <c r="L90" s="53"/>
      <c r="M90" s="53"/>
      <c r="N90" s="53"/>
      <c r="O90" s="53"/>
      <c r="P90" s="53"/>
      <c r="Q90" s="6"/>
      <c r="R90" s="57"/>
      <c r="S90" s="57"/>
      <c r="T90" s="57"/>
      <c r="U90" s="162" t="s">
        <v>223</v>
      </c>
      <c r="V90" s="58"/>
      <c r="W90" s="162" t="s">
        <v>4</v>
      </c>
      <c r="X90" s="58"/>
      <c r="Y90" s="57"/>
      <c r="Z90" s="57"/>
      <c r="AA90" s="57"/>
      <c r="AB90" s="57"/>
      <c r="AC90" s="57" t="s">
        <v>1</v>
      </c>
      <c r="AD90" s="57" t="s">
        <v>24</v>
      </c>
      <c r="AE90" s="60"/>
      <c r="AF90" s="9"/>
      <c r="CF90" s="3"/>
      <c r="CG90" s="3"/>
    </row>
    <row r="91" spans="2:85" ht="15" customHeight="1">
      <c r="B91" s="7"/>
      <c r="C91" s="53"/>
      <c r="D91" s="53" t="s">
        <v>2</v>
      </c>
      <c r="E91" s="53" t="s">
        <v>24</v>
      </c>
      <c r="F91" s="53"/>
      <c r="G91" s="53"/>
      <c r="H91" s="160"/>
      <c r="I91" s="160"/>
      <c r="J91" s="160"/>
      <c r="K91" s="161"/>
      <c r="L91" s="160"/>
      <c r="M91" s="160"/>
      <c r="N91" s="160"/>
      <c r="O91" s="160"/>
      <c r="P91" s="160"/>
      <c r="R91" s="158"/>
      <c r="S91" s="158"/>
      <c r="T91" s="158"/>
      <c r="U91" s="163" t="s">
        <v>222</v>
      </c>
      <c r="V91" s="159"/>
      <c r="W91" s="162" t="s">
        <v>4</v>
      </c>
      <c r="X91" s="159"/>
      <c r="Y91" s="158"/>
      <c r="Z91" s="158"/>
      <c r="AA91" s="57"/>
      <c r="AB91" s="57"/>
      <c r="AC91" s="57" t="s">
        <v>2</v>
      </c>
      <c r="AD91" s="57" t="s">
        <v>24</v>
      </c>
      <c r="AE91" s="58"/>
      <c r="AF91" s="9"/>
      <c r="CF91" s="3"/>
      <c r="CG91" s="3"/>
    </row>
    <row r="92" spans="2:85" ht="15" customHeight="1">
      <c r="B92" s="7"/>
      <c r="C92" s="53"/>
      <c r="D92" s="53" t="s">
        <v>187</v>
      </c>
      <c r="E92" s="53" t="s">
        <v>24</v>
      </c>
      <c r="F92" s="52" t="str">
        <f>IF(H89&lt;&gt;"",VLOOKUP(H89,'Team Setup'!$B$5:$C$63,2,FALSE),"")</f>
        <v/>
      </c>
      <c r="G92" s="53"/>
      <c r="H92" s="160"/>
      <c r="I92" s="160"/>
      <c r="J92" s="160"/>
      <c r="K92" s="161"/>
      <c r="L92" s="160"/>
      <c r="M92" s="160"/>
      <c r="N92" s="160"/>
      <c r="O92" s="160"/>
      <c r="P92" s="160"/>
      <c r="R92" s="158"/>
      <c r="S92" s="158"/>
      <c r="T92" s="158"/>
      <c r="U92" s="158"/>
      <c r="V92" s="158"/>
      <c r="W92" s="158"/>
      <c r="X92" s="158"/>
      <c r="Y92" s="158"/>
      <c r="Z92" s="158"/>
      <c r="AA92" s="57"/>
      <c r="AB92" s="57"/>
      <c r="AC92" s="57" t="s">
        <v>187</v>
      </c>
      <c r="AD92" s="57" t="s">
        <v>24</v>
      </c>
      <c r="AE92" s="58" t="str">
        <f>IF(Z89&lt;&gt;"",VLOOKUP(Z89,'Team Setup'!$B$5:$C$63,2,FALSE),"")</f>
        <v/>
      </c>
      <c r="AF92" s="9"/>
      <c r="CF92" s="3"/>
      <c r="CG92" s="3"/>
    </row>
    <row r="93" spans="2:85" ht="15" customHeight="1">
      <c r="B93" s="7"/>
      <c r="C93" s="53"/>
      <c r="D93" s="53"/>
      <c r="E93" s="53"/>
      <c r="F93" s="52" t="str">
        <f>IF(H89&lt;&gt;"",VLOOKUP(H89,'Team Setup'!$B$5:$D$63,3,FALSE),"")</f>
        <v/>
      </c>
      <c r="G93" s="53"/>
      <c r="H93" s="17"/>
      <c r="I93" s="17"/>
      <c r="J93" s="17"/>
      <c r="K93" s="170"/>
      <c r="L93" s="17"/>
      <c r="M93" s="17"/>
      <c r="N93" s="17" t="s">
        <v>186</v>
      </c>
      <c r="O93" s="17" t="s">
        <v>24</v>
      </c>
      <c r="P93" s="19" t="str">
        <f>IF(AND(P94&lt;&gt;"",R94&lt;&gt;""),IF(AND(V91&lt;&gt;"",X91&lt;&gt;"",V91&gt;X91),N94&amp;" win on Penalty Kick",IF(AND(V91&lt;&gt;"",X91&lt;&gt;"",V91&lt;X91),T94&amp;" win on Penalty Kick",IF(P94&gt;R94,N94&amp;" win",IF(R94&gt;P94,T94&amp;" win",IF(AND(P94=R94,L89&gt;V89),T94&amp;" win on away goals",IF(AND(P94=R94,L89&lt;V89+V90),N94&amp;" win on away goals","")))))),"")</f>
        <v/>
      </c>
      <c r="Q93" s="19"/>
      <c r="R93" s="19"/>
      <c r="S93" s="17"/>
      <c r="T93" s="17"/>
      <c r="U93" s="17"/>
      <c r="V93" s="17"/>
      <c r="W93" s="17"/>
      <c r="X93" s="17"/>
      <c r="Y93" s="17"/>
      <c r="Z93" s="17"/>
      <c r="AA93" s="57"/>
      <c r="AB93" s="57"/>
      <c r="AC93" s="57"/>
      <c r="AD93" s="57"/>
      <c r="AE93" s="58" t="str">
        <f>IF(Z89&lt;&gt;"",VLOOKUP(Z89,'Team Setup'!$B$5:$D$63,3,FALSE),"")</f>
        <v/>
      </c>
      <c r="AF93" s="9"/>
      <c r="CF93" s="3"/>
      <c r="CG93" s="3"/>
    </row>
    <row r="94" spans="2:85" ht="15" customHeight="1">
      <c r="B94" s="7"/>
      <c r="C94" s="53"/>
      <c r="D94" s="53"/>
      <c r="E94" s="53"/>
      <c r="F94" s="53"/>
      <c r="G94" s="53"/>
      <c r="H94" s="6"/>
      <c r="I94" s="6"/>
      <c r="J94" s="169"/>
      <c r="K94" s="20"/>
      <c r="L94" s="21"/>
      <c r="M94" s="169"/>
      <c r="N94" s="22" t="str">
        <f>H89</f>
        <v/>
      </c>
      <c r="O94" s="4"/>
      <c r="P94" s="23" t="str">
        <f>IF(AND(L89&lt;&gt;"",V89&lt;&gt;"",X89&lt;&gt;"",J89&lt;&gt;""),J89+V89+V90,"")</f>
        <v/>
      </c>
      <c r="Q94" s="24" t="s">
        <v>4</v>
      </c>
      <c r="R94" s="23" t="str">
        <f>IF(AND(L89&lt;&gt;"",V89&lt;&gt;"",X89&lt;&gt;"",J89&lt;&gt;""),L89+X89+X90,"")</f>
        <v/>
      </c>
      <c r="S94" s="4"/>
      <c r="T94" s="4" t="str">
        <f>Z89</f>
        <v/>
      </c>
      <c r="U94" s="6"/>
      <c r="V94" s="6"/>
      <c r="W94" s="6"/>
      <c r="X94" s="6"/>
      <c r="Y94" s="6"/>
      <c r="Z94" s="6"/>
      <c r="AA94" s="57"/>
      <c r="AB94" s="57"/>
      <c r="AC94" s="57"/>
      <c r="AD94" s="57"/>
      <c r="AE94" s="57"/>
      <c r="AF94" s="9"/>
      <c r="CF94" s="3"/>
      <c r="CG94" s="3"/>
    </row>
    <row r="95" spans="2:85" ht="15" customHeight="1">
      <c r="B95" s="7"/>
      <c r="G95" s="6"/>
      <c r="H95" s="6"/>
      <c r="I95" s="6"/>
      <c r="J95" s="6"/>
      <c r="K95" s="169"/>
      <c r="L95" s="6"/>
      <c r="M95" s="6"/>
      <c r="N95" s="6"/>
      <c r="O95" s="6"/>
      <c r="P95" s="6"/>
      <c r="Q95" s="6"/>
      <c r="R95" s="6"/>
      <c r="S95" s="6"/>
      <c r="T95" s="6"/>
      <c r="U95" s="6"/>
      <c r="V95" s="6"/>
      <c r="W95" s="6"/>
      <c r="X95" s="6"/>
      <c r="Y95" s="6"/>
      <c r="Z95" s="6"/>
      <c r="AA95" s="6"/>
      <c r="AD95" s="6"/>
      <c r="AE95" s="6"/>
      <c r="AF95" s="9"/>
      <c r="CF95" s="3"/>
      <c r="CG95" s="3"/>
    </row>
    <row r="96" spans="2:85" ht="15" customHeight="1">
      <c r="B96" s="7"/>
      <c r="C96" s="234" t="s">
        <v>185</v>
      </c>
      <c r="D96" s="234"/>
      <c r="E96" s="234"/>
      <c r="F96" s="234"/>
      <c r="G96" s="234"/>
      <c r="H96" s="234"/>
      <c r="I96" s="234"/>
      <c r="J96" s="234"/>
      <c r="K96" s="234"/>
      <c r="L96" s="234"/>
      <c r="M96" s="234"/>
      <c r="N96" s="234"/>
      <c r="O96" s="234"/>
      <c r="P96" s="234"/>
      <c r="Q96" s="6"/>
      <c r="R96" s="235" t="s">
        <v>184</v>
      </c>
      <c r="S96" s="235"/>
      <c r="T96" s="235"/>
      <c r="U96" s="235"/>
      <c r="V96" s="235"/>
      <c r="W96" s="235"/>
      <c r="X96" s="235"/>
      <c r="Y96" s="235"/>
      <c r="Z96" s="235"/>
      <c r="AA96" s="235"/>
      <c r="AB96" s="235"/>
      <c r="AC96" s="235"/>
      <c r="AD96" s="235"/>
      <c r="AE96" s="235"/>
      <c r="AF96" s="9"/>
      <c r="CF96" s="3"/>
      <c r="CG96" s="3"/>
    </row>
    <row r="97" spans="2:85" ht="15" customHeight="1">
      <c r="B97" s="7"/>
      <c r="C97" s="51"/>
      <c r="D97" s="51"/>
      <c r="E97" s="51"/>
      <c r="F97" s="51"/>
      <c r="G97" s="51"/>
      <c r="H97" s="51"/>
      <c r="I97" s="51"/>
      <c r="J97" s="51"/>
      <c r="K97" s="51"/>
      <c r="L97" s="51"/>
      <c r="M97" s="51"/>
      <c r="N97" s="51"/>
      <c r="O97" s="51"/>
      <c r="P97" s="51"/>
      <c r="Q97" s="4"/>
      <c r="R97" s="57"/>
      <c r="S97" s="57"/>
      <c r="T97" s="57"/>
      <c r="U97" s="57"/>
      <c r="V97" s="57"/>
      <c r="W97" s="57"/>
      <c r="X97" s="57"/>
      <c r="Y97" s="57"/>
      <c r="Z97" s="57"/>
      <c r="AA97" s="57"/>
      <c r="AB97" s="57"/>
      <c r="AC97" s="57"/>
      <c r="AD97" s="57"/>
      <c r="AE97" s="57"/>
      <c r="AF97" s="9"/>
      <c r="CF97" s="3"/>
      <c r="CG97" s="3"/>
    </row>
    <row r="98" spans="2:85" ht="15" customHeight="1">
      <c r="B98" s="7"/>
      <c r="C98" s="53"/>
      <c r="D98" s="53" t="s">
        <v>16</v>
      </c>
      <c r="E98" s="53" t="s">
        <v>24</v>
      </c>
      <c r="F98" s="54">
        <v>11</v>
      </c>
      <c r="G98" s="55"/>
      <c r="H98" s="68" t="str">
        <f>IF(ISNA(VLOOKUP(F98,'Group Stages'!$V$131:$X$148,3,FALSE)),"",VLOOKUP(F98,'Group Stages'!$V$131:$X$148,3,FALSE))</f>
        <v/>
      </c>
      <c r="I98" s="53"/>
      <c r="J98" s="52"/>
      <c r="K98" s="52" t="s">
        <v>4</v>
      </c>
      <c r="L98" s="52"/>
      <c r="M98" s="53"/>
      <c r="N98" s="69" t="str">
        <f>Z98</f>
        <v/>
      </c>
      <c r="O98" s="53"/>
      <c r="P98" s="53"/>
      <c r="Q98" s="6"/>
      <c r="R98" s="57"/>
      <c r="S98" s="57"/>
      <c r="T98" s="66" t="str">
        <f>H98</f>
        <v/>
      </c>
      <c r="U98" s="57"/>
      <c r="V98" s="58"/>
      <c r="W98" s="58" t="s">
        <v>4</v>
      </c>
      <c r="X98" s="58"/>
      <c r="Y98" s="57"/>
      <c r="Z98" s="67" t="str">
        <f>IF(ISNA(VLOOKUP(AE98,'Group Stages'!$V$111:$X$128,3,FALSE)),"",VLOOKUP(AE98,'Group Stages'!$V$111:$X$128,3,FALSE))</f>
        <v/>
      </c>
      <c r="AA98" s="57"/>
      <c r="AB98" s="57"/>
      <c r="AC98" s="57" t="s">
        <v>16</v>
      </c>
      <c r="AD98" s="57" t="s">
        <v>24</v>
      </c>
      <c r="AE98" s="59">
        <f>F98</f>
        <v>11</v>
      </c>
      <c r="AF98" s="9"/>
      <c r="CF98" s="3"/>
      <c r="CG98" s="3"/>
    </row>
    <row r="99" spans="2:85" ht="15" customHeight="1">
      <c r="B99" s="7"/>
      <c r="C99" s="53"/>
      <c r="D99" s="53" t="s">
        <v>1</v>
      </c>
      <c r="E99" s="53" t="s">
        <v>24</v>
      </c>
      <c r="F99" s="56"/>
      <c r="G99" s="53"/>
      <c r="H99" s="53"/>
      <c r="I99" s="53"/>
      <c r="J99" s="53"/>
      <c r="K99" s="52"/>
      <c r="L99" s="53"/>
      <c r="M99" s="53"/>
      <c r="N99" s="53"/>
      <c r="O99" s="53"/>
      <c r="P99" s="53"/>
      <c r="Q99" s="6"/>
      <c r="R99" s="57"/>
      <c r="S99" s="57"/>
      <c r="T99" s="57"/>
      <c r="U99" s="162" t="s">
        <v>223</v>
      </c>
      <c r="V99" s="58"/>
      <c r="W99" s="162" t="s">
        <v>4</v>
      </c>
      <c r="X99" s="58"/>
      <c r="Y99" s="57"/>
      <c r="Z99" s="57"/>
      <c r="AA99" s="57"/>
      <c r="AB99" s="57"/>
      <c r="AC99" s="57" t="s">
        <v>1</v>
      </c>
      <c r="AD99" s="57" t="s">
        <v>24</v>
      </c>
      <c r="AE99" s="60"/>
      <c r="AF99" s="9"/>
      <c r="CF99" s="3"/>
      <c r="CG99" s="3"/>
    </row>
    <row r="100" spans="2:85" ht="15" customHeight="1">
      <c r="B100" s="7"/>
      <c r="C100" s="53"/>
      <c r="D100" s="53" t="s">
        <v>2</v>
      </c>
      <c r="E100" s="53" t="s">
        <v>24</v>
      </c>
      <c r="F100" s="53"/>
      <c r="G100" s="53"/>
      <c r="H100" s="160"/>
      <c r="I100" s="160"/>
      <c r="J100" s="160"/>
      <c r="K100" s="161"/>
      <c r="L100" s="160"/>
      <c r="M100" s="160"/>
      <c r="N100" s="160"/>
      <c r="O100" s="160"/>
      <c r="P100" s="160"/>
      <c r="R100" s="158"/>
      <c r="S100" s="158"/>
      <c r="T100" s="158"/>
      <c r="U100" s="163" t="s">
        <v>222</v>
      </c>
      <c r="V100" s="159"/>
      <c r="W100" s="162" t="s">
        <v>4</v>
      </c>
      <c r="X100" s="159"/>
      <c r="Y100" s="158"/>
      <c r="Z100" s="158"/>
      <c r="AA100" s="57"/>
      <c r="AB100" s="57"/>
      <c r="AC100" s="57" t="s">
        <v>2</v>
      </c>
      <c r="AD100" s="57" t="s">
        <v>24</v>
      </c>
      <c r="AE100" s="58"/>
      <c r="AF100" s="9"/>
      <c r="CF100" s="3"/>
      <c r="CG100" s="3"/>
    </row>
    <row r="101" spans="2:85" ht="15" customHeight="1">
      <c r="B101" s="7"/>
      <c r="C101" s="53"/>
      <c r="D101" s="53" t="s">
        <v>187</v>
      </c>
      <c r="E101" s="53" t="s">
        <v>24</v>
      </c>
      <c r="F101" s="52" t="str">
        <f>IF(H98&lt;&gt;"",VLOOKUP(H98,'Team Setup'!$B$5:$C$63,2,FALSE),"")</f>
        <v/>
      </c>
      <c r="G101" s="53"/>
      <c r="H101" s="160"/>
      <c r="I101" s="160"/>
      <c r="J101" s="160"/>
      <c r="K101" s="161"/>
      <c r="L101" s="160"/>
      <c r="M101" s="160"/>
      <c r="N101" s="160"/>
      <c r="O101" s="160"/>
      <c r="P101" s="160"/>
      <c r="R101" s="158"/>
      <c r="S101" s="158"/>
      <c r="T101" s="158"/>
      <c r="U101" s="158"/>
      <c r="V101" s="158"/>
      <c r="W101" s="158"/>
      <c r="X101" s="158"/>
      <c r="Y101" s="158"/>
      <c r="Z101" s="158"/>
      <c r="AA101" s="57"/>
      <c r="AB101" s="57"/>
      <c r="AC101" s="57" t="s">
        <v>187</v>
      </c>
      <c r="AD101" s="57" t="s">
        <v>24</v>
      </c>
      <c r="AE101" s="58" t="str">
        <f>IF(Z98&lt;&gt;"",VLOOKUP(Z98,'Team Setup'!$B$5:$C$63,2,FALSE),"")</f>
        <v/>
      </c>
      <c r="AF101" s="9"/>
      <c r="CF101" s="3"/>
      <c r="CG101" s="3"/>
    </row>
    <row r="102" spans="2:85" ht="15" customHeight="1">
      <c r="B102" s="7"/>
      <c r="C102" s="53"/>
      <c r="D102" s="53"/>
      <c r="E102" s="53"/>
      <c r="F102" s="52" t="str">
        <f>IF(H98&lt;&gt;"",VLOOKUP(H98,'Team Setup'!$B$5:$D$63,3,FALSE),"")</f>
        <v/>
      </c>
      <c r="G102" s="53"/>
      <c r="H102" s="17"/>
      <c r="I102" s="17"/>
      <c r="J102" s="17"/>
      <c r="K102" s="170"/>
      <c r="L102" s="17"/>
      <c r="M102" s="17"/>
      <c r="N102" s="17" t="s">
        <v>186</v>
      </c>
      <c r="O102" s="17" t="s">
        <v>24</v>
      </c>
      <c r="P102" s="19" t="str">
        <f>IF(AND(P103&lt;&gt;"",R103&lt;&gt;""),IF(AND(V100&lt;&gt;"",X100&lt;&gt;"",V100&gt;X100),N103&amp;" win on Penalty Kick",IF(AND(V100&lt;&gt;"",X100&lt;&gt;"",V100&lt;X100),T103&amp;" win on Penalty Kick",IF(P103&gt;R103,N103&amp;" win",IF(R103&gt;P103,T103&amp;" win",IF(AND(P103=R103,L98&gt;V98),T103&amp;" win on away goals",IF(AND(P103=R103,L98&lt;V98+V99),N103&amp;" win on away goals","")))))),"")</f>
        <v/>
      </c>
      <c r="Q102" s="19"/>
      <c r="R102" s="19"/>
      <c r="S102" s="17"/>
      <c r="T102" s="17"/>
      <c r="U102" s="17"/>
      <c r="V102" s="17"/>
      <c r="W102" s="17"/>
      <c r="X102" s="17"/>
      <c r="Y102" s="17"/>
      <c r="Z102" s="17"/>
      <c r="AA102" s="57"/>
      <c r="AB102" s="57"/>
      <c r="AC102" s="57"/>
      <c r="AD102" s="57"/>
      <c r="AE102" s="58" t="str">
        <f>IF(Z98&lt;&gt;"",VLOOKUP(Z98,'Team Setup'!$B$5:$D$63,3,FALSE),"")</f>
        <v/>
      </c>
      <c r="AF102" s="9"/>
      <c r="CF102" s="3"/>
      <c r="CG102" s="3"/>
    </row>
    <row r="103" spans="2:85" ht="15" customHeight="1">
      <c r="B103" s="7"/>
      <c r="C103" s="53"/>
      <c r="D103" s="53"/>
      <c r="E103" s="53"/>
      <c r="F103" s="53"/>
      <c r="G103" s="53"/>
      <c r="H103" s="6"/>
      <c r="I103" s="6"/>
      <c r="J103" s="169"/>
      <c r="K103" s="20"/>
      <c r="L103" s="21"/>
      <c r="M103" s="169"/>
      <c r="N103" s="22" t="str">
        <f>H98</f>
        <v/>
      </c>
      <c r="O103" s="4"/>
      <c r="P103" s="23" t="str">
        <f>IF(AND(L98&lt;&gt;"",V98&lt;&gt;"",X98&lt;&gt;"",J98&lt;&gt;""),J98+V98+V99,"")</f>
        <v/>
      </c>
      <c r="Q103" s="24" t="s">
        <v>4</v>
      </c>
      <c r="R103" s="23" t="str">
        <f>IF(AND(L98&lt;&gt;"",V98&lt;&gt;"",X98&lt;&gt;"",J98&lt;&gt;""),L98+X98+X99,"")</f>
        <v/>
      </c>
      <c r="S103" s="4"/>
      <c r="T103" s="4" t="str">
        <f>Z98</f>
        <v/>
      </c>
      <c r="U103" s="6"/>
      <c r="V103" s="6"/>
      <c r="W103" s="6"/>
      <c r="X103" s="6"/>
      <c r="Y103" s="6"/>
      <c r="Z103" s="6"/>
      <c r="AA103" s="57"/>
      <c r="AB103" s="57"/>
      <c r="AC103" s="57"/>
      <c r="AD103" s="57"/>
      <c r="AE103" s="57"/>
      <c r="AF103" s="9"/>
      <c r="CF103" s="3"/>
      <c r="CG103" s="3"/>
    </row>
    <row r="104" spans="2:85" ht="15" customHeight="1">
      <c r="B104" s="7"/>
      <c r="G104" s="6"/>
      <c r="H104" s="6"/>
      <c r="I104" s="6"/>
      <c r="J104" s="6"/>
      <c r="K104" s="169"/>
      <c r="L104" s="6"/>
      <c r="M104" s="6"/>
      <c r="N104" s="6"/>
      <c r="O104" s="6"/>
      <c r="P104" s="6"/>
      <c r="Q104" s="6"/>
      <c r="R104" s="6"/>
      <c r="S104" s="6"/>
      <c r="T104" s="6"/>
      <c r="U104" s="6"/>
      <c r="V104" s="6"/>
      <c r="W104" s="6"/>
      <c r="X104" s="6"/>
      <c r="Y104" s="6"/>
      <c r="Z104" s="6"/>
      <c r="AA104" s="6"/>
      <c r="AD104" s="6"/>
      <c r="AE104" s="6"/>
      <c r="AF104" s="9"/>
      <c r="CF104" s="3"/>
      <c r="CG104" s="3"/>
    </row>
    <row r="105" spans="2:85" ht="15" customHeight="1">
      <c r="B105" s="7"/>
      <c r="C105" s="234" t="s">
        <v>185</v>
      </c>
      <c r="D105" s="234"/>
      <c r="E105" s="234"/>
      <c r="F105" s="234"/>
      <c r="G105" s="234"/>
      <c r="H105" s="234"/>
      <c r="I105" s="234"/>
      <c r="J105" s="234"/>
      <c r="K105" s="234"/>
      <c r="L105" s="234"/>
      <c r="M105" s="234"/>
      <c r="N105" s="234"/>
      <c r="O105" s="234"/>
      <c r="P105" s="234"/>
      <c r="Q105" s="6"/>
      <c r="R105" s="235" t="s">
        <v>184</v>
      </c>
      <c r="S105" s="235"/>
      <c r="T105" s="235"/>
      <c r="U105" s="235"/>
      <c r="V105" s="235"/>
      <c r="W105" s="235"/>
      <c r="X105" s="235"/>
      <c r="Y105" s="235"/>
      <c r="Z105" s="235"/>
      <c r="AA105" s="235"/>
      <c r="AB105" s="235"/>
      <c r="AC105" s="235"/>
      <c r="AD105" s="235"/>
      <c r="AE105" s="235"/>
      <c r="AF105" s="9"/>
      <c r="CF105" s="3"/>
      <c r="CG105" s="3"/>
    </row>
    <row r="106" spans="2:85" ht="15" customHeight="1">
      <c r="B106" s="7"/>
      <c r="C106" s="51"/>
      <c r="D106" s="51"/>
      <c r="E106" s="51"/>
      <c r="F106" s="51"/>
      <c r="G106" s="51"/>
      <c r="H106" s="51"/>
      <c r="I106" s="51"/>
      <c r="J106" s="51"/>
      <c r="K106" s="51"/>
      <c r="L106" s="51"/>
      <c r="M106" s="51"/>
      <c r="N106" s="51"/>
      <c r="O106" s="51"/>
      <c r="P106" s="51"/>
      <c r="Q106" s="4"/>
      <c r="R106" s="57"/>
      <c r="S106" s="57"/>
      <c r="T106" s="57"/>
      <c r="U106" s="57"/>
      <c r="V106" s="57"/>
      <c r="W106" s="57"/>
      <c r="X106" s="57"/>
      <c r="Y106" s="57"/>
      <c r="Z106" s="57"/>
      <c r="AA106" s="57"/>
      <c r="AB106" s="57"/>
      <c r="AC106" s="57"/>
      <c r="AD106" s="57"/>
      <c r="AE106" s="57"/>
      <c r="AF106" s="9"/>
      <c r="CF106" s="3"/>
      <c r="CG106" s="3"/>
    </row>
    <row r="107" spans="2:85" ht="15" customHeight="1">
      <c r="B107" s="7"/>
      <c r="C107" s="53"/>
      <c r="D107" s="53" t="s">
        <v>16</v>
      </c>
      <c r="E107" s="53" t="s">
        <v>24</v>
      </c>
      <c r="F107" s="54">
        <v>12</v>
      </c>
      <c r="G107" s="55"/>
      <c r="H107" s="68" t="str">
        <f>IF(ISNA(VLOOKUP(F107,'Group Stages'!$V$131:$X$148,3,FALSE)),"",VLOOKUP(F107,'Group Stages'!$V$131:$X$148,3,FALSE))</f>
        <v/>
      </c>
      <c r="I107" s="53"/>
      <c r="J107" s="52"/>
      <c r="K107" s="52" t="s">
        <v>4</v>
      </c>
      <c r="L107" s="52"/>
      <c r="M107" s="53"/>
      <c r="N107" s="69" t="str">
        <f>Z107</f>
        <v/>
      </c>
      <c r="O107" s="53"/>
      <c r="P107" s="53"/>
      <c r="Q107" s="6"/>
      <c r="R107" s="57"/>
      <c r="S107" s="57"/>
      <c r="T107" s="66" t="str">
        <f>H107</f>
        <v/>
      </c>
      <c r="U107" s="57"/>
      <c r="V107" s="58"/>
      <c r="W107" s="58" t="s">
        <v>4</v>
      </c>
      <c r="X107" s="58"/>
      <c r="Y107" s="57"/>
      <c r="Z107" s="67" t="str">
        <f>IF(ISNA(VLOOKUP(AE107,'Group Stages'!$V$111:$X$128,3,FALSE)),"",VLOOKUP(AE107,'Group Stages'!$V$111:$X$128,3,FALSE))</f>
        <v/>
      </c>
      <c r="AA107" s="57"/>
      <c r="AB107" s="57"/>
      <c r="AC107" s="57" t="s">
        <v>16</v>
      </c>
      <c r="AD107" s="57" t="s">
        <v>24</v>
      </c>
      <c r="AE107" s="59">
        <f>F107</f>
        <v>12</v>
      </c>
      <c r="AF107" s="9"/>
      <c r="CF107" s="3"/>
      <c r="CG107" s="3"/>
    </row>
    <row r="108" spans="2:85" ht="15" customHeight="1">
      <c r="B108" s="7"/>
      <c r="C108" s="53"/>
      <c r="D108" s="53" t="s">
        <v>1</v>
      </c>
      <c r="E108" s="53" t="s">
        <v>24</v>
      </c>
      <c r="F108" s="56"/>
      <c r="G108" s="53"/>
      <c r="H108" s="53"/>
      <c r="I108" s="53"/>
      <c r="J108" s="53"/>
      <c r="K108" s="52"/>
      <c r="L108" s="53"/>
      <c r="M108" s="53"/>
      <c r="N108" s="53"/>
      <c r="O108" s="53"/>
      <c r="P108" s="53"/>
      <c r="Q108" s="6"/>
      <c r="R108" s="57"/>
      <c r="S108" s="57"/>
      <c r="T108" s="57"/>
      <c r="U108" s="162" t="s">
        <v>223</v>
      </c>
      <c r="V108" s="58"/>
      <c r="W108" s="162" t="s">
        <v>4</v>
      </c>
      <c r="X108" s="58"/>
      <c r="Y108" s="57"/>
      <c r="Z108" s="57"/>
      <c r="AA108" s="57"/>
      <c r="AB108" s="57"/>
      <c r="AC108" s="57" t="s">
        <v>1</v>
      </c>
      <c r="AD108" s="57" t="s">
        <v>24</v>
      </c>
      <c r="AE108" s="60"/>
      <c r="AF108" s="9"/>
      <c r="CF108" s="3"/>
      <c r="CG108" s="3"/>
    </row>
    <row r="109" spans="2:85" ht="15" customHeight="1">
      <c r="B109" s="7"/>
      <c r="C109" s="53"/>
      <c r="D109" s="53" t="s">
        <v>2</v>
      </c>
      <c r="E109" s="53" t="s">
        <v>24</v>
      </c>
      <c r="F109" s="53"/>
      <c r="G109" s="53"/>
      <c r="H109" s="160"/>
      <c r="I109" s="160"/>
      <c r="J109" s="160"/>
      <c r="K109" s="161"/>
      <c r="L109" s="160"/>
      <c r="M109" s="160"/>
      <c r="N109" s="160"/>
      <c r="O109" s="160"/>
      <c r="P109" s="160"/>
      <c r="R109" s="158"/>
      <c r="S109" s="158"/>
      <c r="T109" s="158"/>
      <c r="U109" s="163" t="s">
        <v>222</v>
      </c>
      <c r="V109" s="159"/>
      <c r="W109" s="162" t="s">
        <v>4</v>
      </c>
      <c r="X109" s="159"/>
      <c r="Y109" s="158"/>
      <c r="Z109" s="158"/>
      <c r="AA109" s="57"/>
      <c r="AB109" s="57"/>
      <c r="AC109" s="57" t="s">
        <v>2</v>
      </c>
      <c r="AD109" s="57" t="s">
        <v>24</v>
      </c>
      <c r="AE109" s="58"/>
      <c r="AF109" s="9"/>
      <c r="CF109" s="3"/>
      <c r="CG109" s="3"/>
    </row>
    <row r="110" spans="2:85" ht="15" customHeight="1">
      <c r="B110" s="7"/>
      <c r="C110" s="53"/>
      <c r="D110" s="53" t="s">
        <v>187</v>
      </c>
      <c r="E110" s="53" t="s">
        <v>24</v>
      </c>
      <c r="F110" s="52" t="str">
        <f>IF(H107&lt;&gt;"",VLOOKUP(H107,'Team Setup'!$B$5:$C$63,2,FALSE),"")</f>
        <v/>
      </c>
      <c r="G110" s="53"/>
      <c r="H110" s="160"/>
      <c r="I110" s="160"/>
      <c r="J110" s="160"/>
      <c r="K110" s="161"/>
      <c r="L110" s="160"/>
      <c r="M110" s="160"/>
      <c r="N110" s="160"/>
      <c r="O110" s="160"/>
      <c r="P110" s="160"/>
      <c r="R110" s="158"/>
      <c r="S110" s="158"/>
      <c r="T110" s="158"/>
      <c r="U110" s="158"/>
      <c r="V110" s="158"/>
      <c r="W110" s="158"/>
      <c r="X110" s="158"/>
      <c r="Y110" s="158"/>
      <c r="Z110" s="158"/>
      <c r="AA110" s="57"/>
      <c r="AB110" s="57"/>
      <c r="AC110" s="57" t="s">
        <v>187</v>
      </c>
      <c r="AD110" s="57" t="s">
        <v>24</v>
      </c>
      <c r="AE110" s="58" t="str">
        <f>IF(Z107&lt;&gt;"",VLOOKUP(Z107,'Team Setup'!$B$5:$C$63,2,FALSE),"")</f>
        <v/>
      </c>
      <c r="AF110" s="9"/>
      <c r="CF110" s="3"/>
      <c r="CG110" s="3"/>
    </row>
    <row r="111" spans="2:85" ht="15" customHeight="1">
      <c r="B111" s="7"/>
      <c r="C111" s="53"/>
      <c r="D111" s="53"/>
      <c r="E111" s="53"/>
      <c r="F111" s="52" t="str">
        <f>IF(H107&lt;&gt;"",VLOOKUP(H107,'Team Setup'!$B$5:$D$63,3,FALSE),"")</f>
        <v/>
      </c>
      <c r="G111" s="53"/>
      <c r="H111" s="17"/>
      <c r="I111" s="17"/>
      <c r="J111" s="17"/>
      <c r="K111" s="170"/>
      <c r="L111" s="17"/>
      <c r="M111" s="17"/>
      <c r="N111" s="17" t="s">
        <v>186</v>
      </c>
      <c r="O111" s="17" t="s">
        <v>24</v>
      </c>
      <c r="P111" s="19" t="str">
        <f>IF(AND(P112&lt;&gt;"",R112&lt;&gt;""),IF(AND(V109&lt;&gt;"",X109&lt;&gt;"",V109&gt;X109),N112&amp;" win on Penalty Kick",IF(AND(V109&lt;&gt;"",X109&lt;&gt;"",V109&lt;X109),T112&amp;" win on Penalty Kick",IF(P112&gt;R112,N112&amp;" win",IF(R112&gt;P112,T112&amp;" win",IF(AND(P112=R112,L107&gt;V107),T112&amp;" win on away goals",IF(AND(P112=R112,L107&lt;V107+V108),N112&amp;" win on away goals","")))))),"")</f>
        <v/>
      </c>
      <c r="Q111" s="19"/>
      <c r="R111" s="19"/>
      <c r="S111" s="17"/>
      <c r="T111" s="17"/>
      <c r="U111" s="17"/>
      <c r="V111" s="17"/>
      <c r="W111" s="17"/>
      <c r="X111" s="17"/>
      <c r="Y111" s="17"/>
      <c r="Z111" s="17"/>
      <c r="AA111" s="57"/>
      <c r="AB111" s="57"/>
      <c r="AC111" s="57"/>
      <c r="AD111" s="57"/>
      <c r="AE111" s="58" t="str">
        <f>IF(Z107&lt;&gt;"",VLOOKUP(Z107,'Team Setup'!$B$5:$D$63,3,FALSE),"")</f>
        <v/>
      </c>
      <c r="AF111" s="9"/>
      <c r="CF111" s="3"/>
      <c r="CG111" s="3"/>
    </row>
    <row r="112" spans="2:85" ht="15" customHeight="1">
      <c r="B112" s="7"/>
      <c r="C112" s="53"/>
      <c r="D112" s="53"/>
      <c r="E112" s="53"/>
      <c r="F112" s="53"/>
      <c r="G112" s="53"/>
      <c r="H112" s="6"/>
      <c r="I112" s="6"/>
      <c r="J112" s="169"/>
      <c r="K112" s="20"/>
      <c r="L112" s="21"/>
      <c r="M112" s="169"/>
      <c r="N112" s="22" t="str">
        <f>H107</f>
        <v/>
      </c>
      <c r="O112" s="4"/>
      <c r="P112" s="23" t="str">
        <f>IF(AND(L107&lt;&gt;"",V107&lt;&gt;"",X107&lt;&gt;"",J107&lt;&gt;""),J107+V107+V108,"")</f>
        <v/>
      </c>
      <c r="Q112" s="24" t="s">
        <v>4</v>
      </c>
      <c r="R112" s="23" t="str">
        <f>IF(AND(L107&lt;&gt;"",V107&lt;&gt;"",X107&lt;&gt;"",J107&lt;&gt;""),L107+X107+X108,"")</f>
        <v/>
      </c>
      <c r="S112" s="4"/>
      <c r="T112" s="4" t="str">
        <f>Z107</f>
        <v/>
      </c>
      <c r="U112" s="6"/>
      <c r="V112" s="6"/>
      <c r="W112" s="6"/>
      <c r="X112" s="6"/>
      <c r="Y112" s="6"/>
      <c r="Z112" s="6"/>
      <c r="AA112" s="57"/>
      <c r="AB112" s="57"/>
      <c r="AC112" s="57"/>
      <c r="AD112" s="57"/>
      <c r="AE112" s="57"/>
      <c r="AF112" s="9"/>
      <c r="CF112" s="3"/>
      <c r="CG112" s="3"/>
    </row>
    <row r="113" spans="2:85" ht="15" customHeight="1">
      <c r="B113" s="7"/>
      <c r="G113" s="6"/>
      <c r="H113" s="6"/>
      <c r="I113" s="6"/>
      <c r="J113" s="6"/>
      <c r="K113" s="169"/>
      <c r="L113" s="6"/>
      <c r="M113" s="6"/>
      <c r="N113" s="6"/>
      <c r="O113" s="6"/>
      <c r="P113" s="6"/>
      <c r="Q113" s="6"/>
      <c r="R113" s="6"/>
      <c r="S113" s="6"/>
      <c r="T113" s="6"/>
      <c r="U113" s="6"/>
      <c r="V113" s="6"/>
      <c r="W113" s="6"/>
      <c r="X113" s="6"/>
      <c r="Y113" s="6"/>
      <c r="Z113" s="6"/>
      <c r="AA113" s="6"/>
      <c r="AD113" s="6"/>
      <c r="AE113" s="6"/>
      <c r="AF113" s="9"/>
      <c r="CF113" s="3"/>
      <c r="CG113" s="3"/>
    </row>
    <row r="114" spans="2:85" ht="15" customHeight="1">
      <c r="B114" s="7"/>
      <c r="C114" s="234" t="s">
        <v>185</v>
      </c>
      <c r="D114" s="234"/>
      <c r="E114" s="234"/>
      <c r="F114" s="234"/>
      <c r="G114" s="234"/>
      <c r="H114" s="234"/>
      <c r="I114" s="234"/>
      <c r="J114" s="234"/>
      <c r="K114" s="234"/>
      <c r="L114" s="234"/>
      <c r="M114" s="234"/>
      <c r="N114" s="234"/>
      <c r="O114" s="234"/>
      <c r="P114" s="234"/>
      <c r="Q114" s="6"/>
      <c r="R114" s="235" t="s">
        <v>184</v>
      </c>
      <c r="S114" s="235"/>
      <c r="T114" s="235"/>
      <c r="U114" s="235"/>
      <c r="V114" s="235"/>
      <c r="W114" s="235"/>
      <c r="X114" s="235"/>
      <c r="Y114" s="235"/>
      <c r="Z114" s="235"/>
      <c r="AA114" s="235"/>
      <c r="AB114" s="235"/>
      <c r="AC114" s="235"/>
      <c r="AD114" s="235"/>
      <c r="AE114" s="235"/>
      <c r="AF114" s="9"/>
      <c r="CF114" s="3"/>
      <c r="CG114" s="3"/>
    </row>
    <row r="115" spans="2:85" ht="15" customHeight="1">
      <c r="B115" s="7"/>
      <c r="C115" s="51"/>
      <c r="D115" s="51"/>
      <c r="E115" s="51"/>
      <c r="F115" s="51"/>
      <c r="G115" s="51"/>
      <c r="H115" s="51"/>
      <c r="I115" s="51"/>
      <c r="J115" s="51"/>
      <c r="K115" s="51"/>
      <c r="L115" s="51"/>
      <c r="M115" s="51"/>
      <c r="N115" s="51"/>
      <c r="O115" s="51"/>
      <c r="P115" s="51"/>
      <c r="Q115" s="4"/>
      <c r="R115" s="57"/>
      <c r="S115" s="57"/>
      <c r="T115" s="57"/>
      <c r="U115" s="57"/>
      <c r="V115" s="57"/>
      <c r="W115" s="57"/>
      <c r="X115" s="57"/>
      <c r="Y115" s="57"/>
      <c r="Z115" s="57"/>
      <c r="AA115" s="57"/>
      <c r="AB115" s="57"/>
      <c r="AC115" s="57"/>
      <c r="AD115" s="57"/>
      <c r="AE115" s="57"/>
      <c r="AF115" s="9"/>
      <c r="CF115" s="3"/>
      <c r="CG115" s="3"/>
    </row>
    <row r="116" spans="2:85" ht="15" customHeight="1">
      <c r="B116" s="7"/>
      <c r="C116" s="53"/>
      <c r="D116" s="53" t="s">
        <v>16</v>
      </c>
      <c r="E116" s="53" t="s">
        <v>24</v>
      </c>
      <c r="F116" s="54">
        <v>13</v>
      </c>
      <c r="G116" s="55"/>
      <c r="H116" s="68" t="str">
        <f>IF(ISNA(VLOOKUP(F116,'Group Stages'!$V$131:$X$148,3,FALSE)),"",VLOOKUP(F116,'Group Stages'!$V$131:$X$148,3,FALSE))</f>
        <v/>
      </c>
      <c r="I116" s="53"/>
      <c r="J116" s="52"/>
      <c r="K116" s="52" t="s">
        <v>4</v>
      </c>
      <c r="L116" s="52"/>
      <c r="M116" s="53"/>
      <c r="N116" s="69" t="str">
        <f>Z116</f>
        <v/>
      </c>
      <c r="O116" s="53"/>
      <c r="P116" s="53"/>
      <c r="Q116" s="6"/>
      <c r="R116" s="57"/>
      <c r="S116" s="57"/>
      <c r="T116" s="66" t="str">
        <f>H116</f>
        <v/>
      </c>
      <c r="U116" s="57"/>
      <c r="V116" s="58"/>
      <c r="W116" s="58" t="s">
        <v>4</v>
      </c>
      <c r="X116" s="58"/>
      <c r="Y116" s="57"/>
      <c r="Z116" s="67" t="str">
        <f>IF(ISNA(VLOOKUP(AE116,'Group Stages'!$V$111:$X$128,3,FALSE)),"",VLOOKUP(AE116,'Group Stages'!$V$111:$X$128,3,FALSE))</f>
        <v/>
      </c>
      <c r="AA116" s="57"/>
      <c r="AB116" s="57"/>
      <c r="AC116" s="57" t="s">
        <v>16</v>
      </c>
      <c r="AD116" s="57" t="s">
        <v>24</v>
      </c>
      <c r="AE116" s="59">
        <f>F116</f>
        <v>13</v>
      </c>
      <c r="AF116" s="9"/>
      <c r="CF116" s="3"/>
      <c r="CG116" s="3"/>
    </row>
    <row r="117" spans="2:85" ht="15" customHeight="1">
      <c r="B117" s="7"/>
      <c r="C117" s="53"/>
      <c r="D117" s="53" t="s">
        <v>1</v>
      </c>
      <c r="E117" s="53" t="s">
        <v>24</v>
      </c>
      <c r="F117" s="56"/>
      <c r="G117" s="53"/>
      <c r="H117" s="53"/>
      <c r="I117" s="53"/>
      <c r="J117" s="53"/>
      <c r="K117" s="52"/>
      <c r="L117" s="53"/>
      <c r="M117" s="53"/>
      <c r="N117" s="53"/>
      <c r="O117" s="53"/>
      <c r="P117" s="53"/>
      <c r="Q117" s="6"/>
      <c r="R117" s="57"/>
      <c r="S117" s="57"/>
      <c r="T117" s="57"/>
      <c r="U117" s="162" t="s">
        <v>223</v>
      </c>
      <c r="V117" s="58"/>
      <c r="W117" s="162" t="s">
        <v>4</v>
      </c>
      <c r="X117" s="58"/>
      <c r="Y117" s="57"/>
      <c r="Z117" s="57"/>
      <c r="AA117" s="57"/>
      <c r="AB117" s="57"/>
      <c r="AC117" s="57" t="s">
        <v>1</v>
      </c>
      <c r="AD117" s="57" t="s">
        <v>24</v>
      </c>
      <c r="AE117" s="60"/>
      <c r="AF117" s="9"/>
      <c r="CF117" s="3"/>
      <c r="CG117" s="3"/>
    </row>
    <row r="118" spans="2:85" ht="15" customHeight="1">
      <c r="B118" s="7"/>
      <c r="C118" s="53"/>
      <c r="D118" s="53" t="s">
        <v>2</v>
      </c>
      <c r="E118" s="53" t="s">
        <v>24</v>
      </c>
      <c r="F118" s="53"/>
      <c r="G118" s="53"/>
      <c r="H118" s="160"/>
      <c r="I118" s="160"/>
      <c r="J118" s="160"/>
      <c r="K118" s="161"/>
      <c r="L118" s="160"/>
      <c r="M118" s="160"/>
      <c r="N118" s="160"/>
      <c r="O118" s="160"/>
      <c r="P118" s="160"/>
      <c r="R118" s="158"/>
      <c r="S118" s="158"/>
      <c r="T118" s="158"/>
      <c r="U118" s="163" t="s">
        <v>222</v>
      </c>
      <c r="V118" s="159"/>
      <c r="W118" s="162" t="s">
        <v>4</v>
      </c>
      <c r="X118" s="159"/>
      <c r="Y118" s="158"/>
      <c r="Z118" s="158"/>
      <c r="AA118" s="57"/>
      <c r="AB118" s="57"/>
      <c r="AC118" s="57" t="s">
        <v>2</v>
      </c>
      <c r="AD118" s="57" t="s">
        <v>24</v>
      </c>
      <c r="AE118" s="58"/>
      <c r="AF118" s="9"/>
      <c r="CF118" s="3"/>
      <c r="CG118" s="3"/>
    </row>
    <row r="119" spans="2:85" ht="15" customHeight="1">
      <c r="B119" s="7"/>
      <c r="C119" s="53"/>
      <c r="D119" s="53" t="s">
        <v>187</v>
      </c>
      <c r="E119" s="53" t="s">
        <v>24</v>
      </c>
      <c r="F119" s="52" t="str">
        <f>IF(H116&lt;&gt;"",VLOOKUP(H116,'Team Setup'!$B$5:$C$63,2,FALSE),"")</f>
        <v/>
      </c>
      <c r="G119" s="53"/>
      <c r="H119" s="160"/>
      <c r="I119" s="160"/>
      <c r="J119" s="160"/>
      <c r="K119" s="161"/>
      <c r="L119" s="160"/>
      <c r="M119" s="160"/>
      <c r="N119" s="160"/>
      <c r="O119" s="160"/>
      <c r="P119" s="160"/>
      <c r="R119" s="158"/>
      <c r="S119" s="158"/>
      <c r="T119" s="158"/>
      <c r="U119" s="158"/>
      <c r="V119" s="158"/>
      <c r="W119" s="158"/>
      <c r="X119" s="158"/>
      <c r="Y119" s="158"/>
      <c r="Z119" s="158"/>
      <c r="AA119" s="57"/>
      <c r="AB119" s="57"/>
      <c r="AC119" s="57" t="s">
        <v>187</v>
      </c>
      <c r="AD119" s="57" t="s">
        <v>24</v>
      </c>
      <c r="AE119" s="58" t="str">
        <f>IF(Z116&lt;&gt;"",VLOOKUP(Z116,'Team Setup'!$B$5:$C$63,2,FALSE),"")</f>
        <v/>
      </c>
      <c r="AF119" s="9"/>
      <c r="CF119" s="3"/>
      <c r="CG119" s="3"/>
    </row>
    <row r="120" spans="2:85" ht="15" customHeight="1">
      <c r="B120" s="7"/>
      <c r="C120" s="53"/>
      <c r="D120" s="53"/>
      <c r="E120" s="53"/>
      <c r="F120" s="52" t="str">
        <f>IF(H116&lt;&gt;"",VLOOKUP(H116,'Team Setup'!$B$5:$D$63,3,FALSE),"")</f>
        <v/>
      </c>
      <c r="G120" s="53"/>
      <c r="H120" s="17"/>
      <c r="I120" s="17"/>
      <c r="J120" s="17"/>
      <c r="K120" s="170"/>
      <c r="L120" s="17"/>
      <c r="M120" s="17"/>
      <c r="N120" s="17" t="s">
        <v>186</v>
      </c>
      <c r="O120" s="17" t="s">
        <v>24</v>
      </c>
      <c r="P120" s="19" t="str">
        <f>IF(AND(P121&lt;&gt;"",R121&lt;&gt;""),IF(AND(V118&lt;&gt;"",X118&lt;&gt;"",V118&gt;X118),N121&amp;" win on Penalty Kick",IF(AND(V118&lt;&gt;"",X118&lt;&gt;"",V118&lt;X118),T121&amp;" win on Penalty Kick",IF(P121&gt;R121,N121&amp;" win",IF(R121&gt;P121,T121&amp;" win",IF(AND(P121=R121,L116&gt;V116),T121&amp;" win on away goals",IF(AND(P121=R121,L116&lt;V116+V117),N121&amp;" win on away goals","")))))),"")</f>
        <v/>
      </c>
      <c r="Q120" s="19"/>
      <c r="R120" s="19"/>
      <c r="S120" s="17"/>
      <c r="T120" s="17"/>
      <c r="U120" s="17"/>
      <c r="V120" s="17"/>
      <c r="W120" s="17"/>
      <c r="X120" s="17"/>
      <c r="Y120" s="17"/>
      <c r="Z120" s="17"/>
      <c r="AA120" s="57"/>
      <c r="AB120" s="57"/>
      <c r="AC120" s="57"/>
      <c r="AD120" s="57"/>
      <c r="AE120" s="58" t="str">
        <f>IF(Z116&lt;&gt;"",VLOOKUP(Z116,'Team Setup'!$B$5:$D$63,3,FALSE),"")</f>
        <v/>
      </c>
      <c r="AF120" s="9"/>
      <c r="CF120" s="3"/>
      <c r="CG120" s="3"/>
    </row>
    <row r="121" spans="2:85" ht="15" customHeight="1">
      <c r="B121" s="7"/>
      <c r="C121" s="53"/>
      <c r="D121" s="53"/>
      <c r="E121" s="53"/>
      <c r="F121" s="53"/>
      <c r="G121" s="53"/>
      <c r="H121" s="6"/>
      <c r="I121" s="6"/>
      <c r="J121" s="169"/>
      <c r="K121" s="20"/>
      <c r="L121" s="21"/>
      <c r="M121" s="169"/>
      <c r="N121" s="22" t="str">
        <f>H116</f>
        <v/>
      </c>
      <c r="O121" s="4"/>
      <c r="P121" s="23" t="str">
        <f>IF(AND(L116&lt;&gt;"",V116&lt;&gt;"",X116&lt;&gt;"",J116&lt;&gt;""),J116+V116+V117,"")</f>
        <v/>
      </c>
      <c r="Q121" s="24" t="s">
        <v>4</v>
      </c>
      <c r="R121" s="23" t="str">
        <f>IF(AND(L116&lt;&gt;"",V116&lt;&gt;"",X116&lt;&gt;"",J116&lt;&gt;""),L116+X116+X117,"")</f>
        <v/>
      </c>
      <c r="S121" s="4"/>
      <c r="T121" s="4" t="str">
        <f>Z116</f>
        <v/>
      </c>
      <c r="U121" s="6"/>
      <c r="V121" s="6"/>
      <c r="W121" s="6"/>
      <c r="X121" s="6"/>
      <c r="Y121" s="6"/>
      <c r="Z121" s="6"/>
      <c r="AA121" s="57"/>
      <c r="AB121" s="57"/>
      <c r="AC121" s="57"/>
      <c r="AD121" s="57"/>
      <c r="AE121" s="57"/>
      <c r="AF121" s="9"/>
      <c r="CF121" s="3"/>
      <c r="CG121" s="3"/>
    </row>
    <row r="122" spans="2:85" ht="15" customHeight="1">
      <c r="B122" s="7"/>
      <c r="G122" s="6"/>
      <c r="H122" s="6"/>
      <c r="I122" s="6"/>
      <c r="J122" s="6"/>
      <c r="K122" s="169"/>
      <c r="L122" s="6"/>
      <c r="M122" s="6"/>
      <c r="N122" s="6"/>
      <c r="O122" s="6"/>
      <c r="P122" s="6"/>
      <c r="Q122" s="6"/>
      <c r="R122" s="6"/>
      <c r="S122" s="6"/>
      <c r="T122" s="6"/>
      <c r="U122" s="6"/>
      <c r="V122" s="6"/>
      <c r="W122" s="6"/>
      <c r="X122" s="6"/>
      <c r="Y122" s="6"/>
      <c r="Z122" s="6"/>
      <c r="AA122" s="6"/>
      <c r="AD122" s="6"/>
      <c r="AE122" s="6"/>
      <c r="AF122" s="9"/>
      <c r="CF122" s="3"/>
      <c r="CG122" s="3"/>
    </row>
    <row r="123" spans="2:85" ht="15" customHeight="1">
      <c r="B123" s="7"/>
      <c r="C123" s="234" t="s">
        <v>185</v>
      </c>
      <c r="D123" s="234"/>
      <c r="E123" s="234"/>
      <c r="F123" s="234"/>
      <c r="G123" s="234"/>
      <c r="H123" s="234"/>
      <c r="I123" s="234"/>
      <c r="J123" s="234"/>
      <c r="K123" s="234"/>
      <c r="L123" s="234"/>
      <c r="M123" s="234"/>
      <c r="N123" s="234"/>
      <c r="O123" s="234"/>
      <c r="P123" s="234"/>
      <c r="Q123" s="6"/>
      <c r="R123" s="235" t="s">
        <v>184</v>
      </c>
      <c r="S123" s="235"/>
      <c r="T123" s="235"/>
      <c r="U123" s="235"/>
      <c r="V123" s="235"/>
      <c r="W123" s="235"/>
      <c r="X123" s="235"/>
      <c r="Y123" s="235"/>
      <c r="Z123" s="235"/>
      <c r="AA123" s="235"/>
      <c r="AB123" s="235"/>
      <c r="AC123" s="235"/>
      <c r="AD123" s="235"/>
      <c r="AE123" s="235"/>
      <c r="AF123" s="9"/>
      <c r="CF123" s="3"/>
      <c r="CG123" s="3"/>
    </row>
    <row r="124" spans="2:85" ht="15" customHeight="1">
      <c r="B124" s="7"/>
      <c r="C124" s="51"/>
      <c r="D124" s="51"/>
      <c r="E124" s="51"/>
      <c r="F124" s="51"/>
      <c r="G124" s="51"/>
      <c r="H124" s="51"/>
      <c r="I124" s="51"/>
      <c r="J124" s="51"/>
      <c r="K124" s="51"/>
      <c r="L124" s="51"/>
      <c r="M124" s="51"/>
      <c r="N124" s="51"/>
      <c r="O124" s="51"/>
      <c r="P124" s="51"/>
      <c r="Q124" s="4"/>
      <c r="R124" s="57"/>
      <c r="S124" s="57"/>
      <c r="T124" s="57"/>
      <c r="U124" s="57"/>
      <c r="V124" s="57"/>
      <c r="W124" s="57"/>
      <c r="X124" s="57"/>
      <c r="Y124" s="57"/>
      <c r="Z124" s="57"/>
      <c r="AA124" s="57"/>
      <c r="AB124" s="57"/>
      <c r="AC124" s="57"/>
      <c r="AD124" s="57"/>
      <c r="AE124" s="57"/>
      <c r="AF124" s="9"/>
      <c r="CF124" s="3"/>
      <c r="CG124" s="3"/>
    </row>
    <row r="125" spans="2:85" ht="15" customHeight="1">
      <c r="B125" s="7"/>
      <c r="C125" s="53"/>
      <c r="D125" s="53" t="s">
        <v>16</v>
      </c>
      <c r="E125" s="53" t="s">
        <v>24</v>
      </c>
      <c r="F125" s="54">
        <v>14</v>
      </c>
      <c r="G125" s="55"/>
      <c r="H125" s="68" t="str">
        <f>IF(ISNA(VLOOKUP(F125,'Group Stages'!$V$131:$X$148,3,FALSE)),"",VLOOKUP(F125,'Group Stages'!$V$131:$X$148,3,FALSE))</f>
        <v/>
      </c>
      <c r="I125" s="53"/>
      <c r="J125" s="52"/>
      <c r="K125" s="52" t="s">
        <v>4</v>
      </c>
      <c r="L125" s="52"/>
      <c r="M125" s="53"/>
      <c r="N125" s="69" t="str">
        <f>Z125</f>
        <v/>
      </c>
      <c r="O125" s="53"/>
      <c r="P125" s="53"/>
      <c r="Q125" s="6"/>
      <c r="R125" s="57"/>
      <c r="S125" s="57"/>
      <c r="T125" s="66" t="str">
        <f>H125</f>
        <v/>
      </c>
      <c r="U125" s="57"/>
      <c r="V125" s="58"/>
      <c r="W125" s="58" t="s">
        <v>4</v>
      </c>
      <c r="X125" s="58"/>
      <c r="Y125" s="57"/>
      <c r="Z125" s="67" t="str">
        <f>IF(ISNA(VLOOKUP(AE125,'Group Stages'!$V$111:$X$128,3,FALSE)),"",VLOOKUP(AE125,'Group Stages'!$V$111:$X$128,3,FALSE))</f>
        <v/>
      </c>
      <c r="AA125" s="57"/>
      <c r="AB125" s="57"/>
      <c r="AC125" s="57" t="s">
        <v>16</v>
      </c>
      <c r="AD125" s="57" t="s">
        <v>24</v>
      </c>
      <c r="AE125" s="59">
        <f>F125</f>
        <v>14</v>
      </c>
      <c r="AF125" s="9"/>
      <c r="CF125" s="3"/>
      <c r="CG125" s="3"/>
    </row>
    <row r="126" spans="2:85" ht="15" customHeight="1">
      <c r="B126" s="7"/>
      <c r="C126" s="53"/>
      <c r="D126" s="53" t="s">
        <v>1</v>
      </c>
      <c r="E126" s="53" t="s">
        <v>24</v>
      </c>
      <c r="F126" s="56"/>
      <c r="G126" s="53"/>
      <c r="H126" s="53"/>
      <c r="I126" s="53"/>
      <c r="J126" s="53"/>
      <c r="K126" s="52"/>
      <c r="L126" s="53"/>
      <c r="M126" s="53"/>
      <c r="N126" s="53"/>
      <c r="O126" s="53"/>
      <c r="P126" s="53"/>
      <c r="Q126" s="6"/>
      <c r="R126" s="57"/>
      <c r="S126" s="57"/>
      <c r="T126" s="57"/>
      <c r="U126" s="162" t="s">
        <v>223</v>
      </c>
      <c r="V126" s="58"/>
      <c r="W126" s="162" t="s">
        <v>4</v>
      </c>
      <c r="X126" s="58"/>
      <c r="Y126" s="57"/>
      <c r="Z126" s="57"/>
      <c r="AA126" s="57"/>
      <c r="AB126" s="57"/>
      <c r="AC126" s="57" t="s">
        <v>1</v>
      </c>
      <c r="AD126" s="57" t="s">
        <v>24</v>
      </c>
      <c r="AE126" s="60"/>
      <c r="AF126" s="9"/>
      <c r="CF126" s="3"/>
      <c r="CG126" s="3"/>
    </row>
    <row r="127" spans="2:85" ht="15" customHeight="1">
      <c r="B127" s="7"/>
      <c r="C127" s="53"/>
      <c r="D127" s="53" t="s">
        <v>2</v>
      </c>
      <c r="E127" s="53" t="s">
        <v>24</v>
      </c>
      <c r="F127" s="53"/>
      <c r="G127" s="53"/>
      <c r="H127" s="160"/>
      <c r="I127" s="160"/>
      <c r="J127" s="160"/>
      <c r="K127" s="161"/>
      <c r="L127" s="160"/>
      <c r="M127" s="160"/>
      <c r="N127" s="160"/>
      <c r="O127" s="160"/>
      <c r="P127" s="160"/>
      <c r="R127" s="158"/>
      <c r="S127" s="158"/>
      <c r="T127" s="158"/>
      <c r="U127" s="163" t="s">
        <v>222</v>
      </c>
      <c r="V127" s="159"/>
      <c r="W127" s="162" t="s">
        <v>4</v>
      </c>
      <c r="X127" s="159"/>
      <c r="Y127" s="158"/>
      <c r="Z127" s="158"/>
      <c r="AA127" s="57"/>
      <c r="AB127" s="57"/>
      <c r="AC127" s="57" t="s">
        <v>2</v>
      </c>
      <c r="AD127" s="57" t="s">
        <v>24</v>
      </c>
      <c r="AE127" s="58"/>
      <c r="AF127" s="9"/>
      <c r="CF127" s="3"/>
      <c r="CG127" s="3"/>
    </row>
    <row r="128" spans="2:85" ht="15" customHeight="1">
      <c r="B128" s="7"/>
      <c r="C128" s="53"/>
      <c r="D128" s="53" t="s">
        <v>187</v>
      </c>
      <c r="E128" s="53" t="s">
        <v>24</v>
      </c>
      <c r="F128" s="52" t="str">
        <f>IF(H125&lt;&gt;"",VLOOKUP(H125,'Team Setup'!$B$5:$C$63,2,FALSE),"")</f>
        <v/>
      </c>
      <c r="G128" s="53"/>
      <c r="H128" s="160"/>
      <c r="I128" s="160"/>
      <c r="J128" s="160"/>
      <c r="K128" s="161"/>
      <c r="L128" s="160"/>
      <c r="M128" s="160"/>
      <c r="N128" s="160"/>
      <c r="O128" s="160"/>
      <c r="P128" s="160"/>
      <c r="R128" s="158"/>
      <c r="S128" s="158"/>
      <c r="T128" s="158"/>
      <c r="U128" s="158"/>
      <c r="V128" s="158"/>
      <c r="W128" s="158"/>
      <c r="X128" s="158"/>
      <c r="Y128" s="158"/>
      <c r="Z128" s="158"/>
      <c r="AA128" s="57"/>
      <c r="AB128" s="57"/>
      <c r="AC128" s="57" t="s">
        <v>187</v>
      </c>
      <c r="AD128" s="57" t="s">
        <v>24</v>
      </c>
      <c r="AE128" s="58" t="str">
        <f>IF(Z125&lt;&gt;"",VLOOKUP(Z125,'Team Setup'!$B$5:$C$63,2,FALSE),"")</f>
        <v/>
      </c>
      <c r="AF128" s="9"/>
      <c r="CF128" s="3"/>
      <c r="CG128" s="3"/>
    </row>
    <row r="129" spans="2:85" ht="15" customHeight="1">
      <c r="B129" s="7"/>
      <c r="C129" s="53"/>
      <c r="D129" s="53"/>
      <c r="E129" s="53"/>
      <c r="F129" s="52" t="str">
        <f>IF(H125&lt;&gt;"",VLOOKUP(H125,'Team Setup'!$B$5:$D$63,3,FALSE),"")</f>
        <v/>
      </c>
      <c r="G129" s="53"/>
      <c r="H129" s="17"/>
      <c r="I129" s="17"/>
      <c r="J129" s="17"/>
      <c r="K129" s="170"/>
      <c r="L129" s="17"/>
      <c r="M129" s="17"/>
      <c r="N129" s="17" t="s">
        <v>186</v>
      </c>
      <c r="O129" s="17" t="s">
        <v>24</v>
      </c>
      <c r="P129" s="19" t="str">
        <f>IF(AND(P130&lt;&gt;"",R130&lt;&gt;""),IF(AND(V127&lt;&gt;"",X127&lt;&gt;"",V127&gt;X127),N130&amp;" win on Penalty Kick",IF(AND(V127&lt;&gt;"",X127&lt;&gt;"",V127&lt;X127),T130&amp;" win on Penalty Kick",IF(P130&gt;R130,N130&amp;" win",IF(R130&gt;P130,T130&amp;" win",IF(AND(P130=R130,L125&gt;V125),T130&amp;" win on away goals",IF(AND(P130=R130,L125&lt;V125+V126),N130&amp;" win on away goals","")))))),"")</f>
        <v/>
      </c>
      <c r="Q129" s="19"/>
      <c r="R129" s="19"/>
      <c r="S129" s="17"/>
      <c r="T129" s="17"/>
      <c r="U129" s="17"/>
      <c r="V129" s="17"/>
      <c r="W129" s="17"/>
      <c r="X129" s="17"/>
      <c r="Y129" s="17"/>
      <c r="Z129" s="17"/>
      <c r="AA129" s="57"/>
      <c r="AB129" s="57"/>
      <c r="AC129" s="57"/>
      <c r="AD129" s="57"/>
      <c r="AE129" s="58" t="str">
        <f>IF(Z125&lt;&gt;"",VLOOKUP(Z125,'Team Setup'!$B$5:$D$63,3,FALSE),"")</f>
        <v/>
      </c>
      <c r="AF129" s="9"/>
      <c r="CF129" s="3"/>
      <c r="CG129" s="3"/>
    </row>
    <row r="130" spans="2:85" ht="15" customHeight="1">
      <c r="B130" s="7"/>
      <c r="C130" s="53"/>
      <c r="D130" s="53"/>
      <c r="E130" s="53"/>
      <c r="F130" s="53"/>
      <c r="G130" s="53"/>
      <c r="H130" s="6"/>
      <c r="I130" s="6"/>
      <c r="J130" s="169"/>
      <c r="K130" s="20"/>
      <c r="L130" s="21"/>
      <c r="M130" s="169"/>
      <c r="N130" s="22" t="str">
        <f>H125</f>
        <v/>
      </c>
      <c r="O130" s="4"/>
      <c r="P130" s="23" t="str">
        <f>IF(AND(L125&lt;&gt;"",V125&lt;&gt;"",X125&lt;&gt;"",J125&lt;&gt;""),J125+V125+V126,"")</f>
        <v/>
      </c>
      <c r="Q130" s="24" t="s">
        <v>4</v>
      </c>
      <c r="R130" s="23" t="str">
        <f>IF(AND(L125&lt;&gt;"",V125&lt;&gt;"",X125&lt;&gt;"",J125&lt;&gt;""),L125+X125+X126,"")</f>
        <v/>
      </c>
      <c r="S130" s="4"/>
      <c r="T130" s="4" t="str">
        <f>Z125</f>
        <v/>
      </c>
      <c r="U130" s="6"/>
      <c r="V130" s="6"/>
      <c r="W130" s="6"/>
      <c r="X130" s="6"/>
      <c r="Y130" s="6"/>
      <c r="Z130" s="6"/>
      <c r="AA130" s="57"/>
      <c r="AB130" s="57"/>
      <c r="AC130" s="57"/>
      <c r="AD130" s="57"/>
      <c r="AE130" s="57"/>
      <c r="AF130" s="9"/>
      <c r="CF130" s="3"/>
      <c r="CG130" s="3"/>
    </row>
    <row r="131" spans="2:85" ht="15" customHeight="1">
      <c r="B131" s="7"/>
      <c r="G131" s="6"/>
      <c r="H131" s="6"/>
      <c r="I131" s="6"/>
      <c r="J131" s="6"/>
      <c r="K131" s="169"/>
      <c r="L131" s="6"/>
      <c r="M131" s="6"/>
      <c r="N131" s="6"/>
      <c r="O131" s="6"/>
      <c r="P131" s="6"/>
      <c r="Q131" s="6"/>
      <c r="R131" s="6"/>
      <c r="S131" s="6"/>
      <c r="T131" s="6"/>
      <c r="U131" s="6"/>
      <c r="V131" s="6"/>
      <c r="W131" s="6"/>
      <c r="X131" s="6"/>
      <c r="Y131" s="6"/>
      <c r="Z131" s="6"/>
      <c r="AA131" s="6"/>
      <c r="AD131" s="6"/>
      <c r="AE131" s="6"/>
      <c r="AF131" s="9"/>
      <c r="CF131" s="3"/>
      <c r="CG131" s="3"/>
    </row>
    <row r="132" spans="2:85" ht="15" customHeight="1">
      <c r="B132" s="7"/>
      <c r="C132" s="234" t="s">
        <v>185</v>
      </c>
      <c r="D132" s="234"/>
      <c r="E132" s="234"/>
      <c r="F132" s="234"/>
      <c r="G132" s="234"/>
      <c r="H132" s="234"/>
      <c r="I132" s="234"/>
      <c r="J132" s="234"/>
      <c r="K132" s="234"/>
      <c r="L132" s="234"/>
      <c r="M132" s="234"/>
      <c r="N132" s="234"/>
      <c r="O132" s="234"/>
      <c r="P132" s="234"/>
      <c r="Q132" s="6"/>
      <c r="R132" s="235" t="s">
        <v>184</v>
      </c>
      <c r="S132" s="235"/>
      <c r="T132" s="235"/>
      <c r="U132" s="235"/>
      <c r="V132" s="235"/>
      <c r="W132" s="235"/>
      <c r="X132" s="235"/>
      <c r="Y132" s="235"/>
      <c r="Z132" s="235"/>
      <c r="AA132" s="235"/>
      <c r="AB132" s="235"/>
      <c r="AC132" s="235"/>
      <c r="AD132" s="235"/>
      <c r="AE132" s="235"/>
      <c r="AF132" s="9"/>
      <c r="CF132" s="3"/>
      <c r="CG132" s="3"/>
    </row>
    <row r="133" spans="2:85" ht="15" customHeight="1">
      <c r="B133" s="7"/>
      <c r="C133" s="51"/>
      <c r="D133" s="51"/>
      <c r="E133" s="51"/>
      <c r="F133" s="51"/>
      <c r="G133" s="51"/>
      <c r="H133" s="51"/>
      <c r="I133" s="51"/>
      <c r="J133" s="51"/>
      <c r="K133" s="51"/>
      <c r="L133" s="51"/>
      <c r="M133" s="51"/>
      <c r="N133" s="51"/>
      <c r="O133" s="51"/>
      <c r="P133" s="51"/>
      <c r="Q133" s="4"/>
      <c r="R133" s="57"/>
      <c r="S133" s="57"/>
      <c r="T133" s="57"/>
      <c r="U133" s="57"/>
      <c r="V133" s="57"/>
      <c r="W133" s="57"/>
      <c r="X133" s="57"/>
      <c r="Y133" s="57"/>
      <c r="Z133" s="57"/>
      <c r="AA133" s="57"/>
      <c r="AB133" s="57"/>
      <c r="AC133" s="57"/>
      <c r="AD133" s="57"/>
      <c r="AE133" s="57"/>
      <c r="AF133" s="9"/>
      <c r="CF133" s="3"/>
      <c r="CG133" s="3"/>
    </row>
    <row r="134" spans="2:85" ht="15" customHeight="1">
      <c r="B134" s="7"/>
      <c r="C134" s="53"/>
      <c r="D134" s="53" t="s">
        <v>16</v>
      </c>
      <c r="E134" s="53" t="s">
        <v>24</v>
      </c>
      <c r="F134" s="54">
        <v>15</v>
      </c>
      <c r="G134" s="55"/>
      <c r="H134" s="68" t="str">
        <f>IF(ISNA(VLOOKUP(F134,'Group Stages'!$V$131:$X$148,3,FALSE)),"",VLOOKUP(F134,'Group Stages'!$V$131:$X$148,3,FALSE))</f>
        <v/>
      </c>
      <c r="I134" s="53"/>
      <c r="J134" s="52"/>
      <c r="K134" s="52" t="s">
        <v>4</v>
      </c>
      <c r="L134" s="52"/>
      <c r="M134" s="53"/>
      <c r="N134" s="69" t="str">
        <f>Z134</f>
        <v/>
      </c>
      <c r="O134" s="53"/>
      <c r="P134" s="53"/>
      <c r="Q134" s="6"/>
      <c r="R134" s="57"/>
      <c r="S134" s="57"/>
      <c r="T134" s="66" t="str">
        <f>H134</f>
        <v/>
      </c>
      <c r="U134" s="57"/>
      <c r="V134" s="58"/>
      <c r="W134" s="58" t="s">
        <v>4</v>
      </c>
      <c r="X134" s="58"/>
      <c r="Y134" s="57"/>
      <c r="Z134" s="67" t="str">
        <f>IF(ISNA(VLOOKUP(AE134,'Group Stages'!$V$111:$X$128,3,FALSE)),"",VLOOKUP(AE134,'Group Stages'!$V$111:$X$128,3,FALSE))</f>
        <v/>
      </c>
      <c r="AA134" s="57"/>
      <c r="AB134" s="57"/>
      <c r="AC134" s="57" t="s">
        <v>16</v>
      </c>
      <c r="AD134" s="57" t="s">
        <v>24</v>
      </c>
      <c r="AE134" s="59">
        <f>F134</f>
        <v>15</v>
      </c>
      <c r="AF134" s="9"/>
      <c r="CF134" s="3"/>
      <c r="CG134" s="3"/>
    </row>
    <row r="135" spans="2:85" ht="15" customHeight="1">
      <c r="B135" s="7"/>
      <c r="C135" s="53"/>
      <c r="D135" s="53" t="s">
        <v>1</v>
      </c>
      <c r="E135" s="53" t="s">
        <v>24</v>
      </c>
      <c r="F135" s="56"/>
      <c r="G135" s="53"/>
      <c r="H135" s="53"/>
      <c r="I135" s="53"/>
      <c r="J135" s="53"/>
      <c r="K135" s="52"/>
      <c r="L135" s="53"/>
      <c r="M135" s="53"/>
      <c r="N135" s="53"/>
      <c r="O135" s="53"/>
      <c r="P135" s="53"/>
      <c r="Q135" s="6"/>
      <c r="R135" s="57"/>
      <c r="S135" s="57"/>
      <c r="T135" s="57"/>
      <c r="U135" s="162" t="s">
        <v>223</v>
      </c>
      <c r="V135" s="58"/>
      <c r="W135" s="162" t="s">
        <v>4</v>
      </c>
      <c r="X135" s="58"/>
      <c r="Y135" s="57"/>
      <c r="Z135" s="57"/>
      <c r="AA135" s="57"/>
      <c r="AB135" s="57"/>
      <c r="AC135" s="57" t="s">
        <v>1</v>
      </c>
      <c r="AD135" s="57" t="s">
        <v>24</v>
      </c>
      <c r="AE135" s="60"/>
      <c r="AF135" s="9"/>
      <c r="CF135" s="3"/>
      <c r="CG135" s="3"/>
    </row>
    <row r="136" spans="2:85" ht="15" customHeight="1">
      <c r="B136" s="7"/>
      <c r="C136" s="53"/>
      <c r="D136" s="53" t="s">
        <v>2</v>
      </c>
      <c r="E136" s="53" t="s">
        <v>24</v>
      </c>
      <c r="F136" s="53"/>
      <c r="G136" s="53"/>
      <c r="H136" s="160"/>
      <c r="I136" s="160"/>
      <c r="J136" s="160"/>
      <c r="K136" s="161"/>
      <c r="L136" s="160"/>
      <c r="M136" s="160"/>
      <c r="N136" s="160"/>
      <c r="O136" s="160"/>
      <c r="P136" s="160"/>
      <c r="R136" s="158"/>
      <c r="S136" s="158"/>
      <c r="T136" s="158"/>
      <c r="U136" s="163" t="s">
        <v>222</v>
      </c>
      <c r="V136" s="159"/>
      <c r="W136" s="162" t="s">
        <v>4</v>
      </c>
      <c r="X136" s="159"/>
      <c r="Y136" s="158"/>
      <c r="Z136" s="158"/>
      <c r="AA136" s="57"/>
      <c r="AB136" s="57"/>
      <c r="AC136" s="57" t="s">
        <v>2</v>
      </c>
      <c r="AD136" s="57" t="s">
        <v>24</v>
      </c>
      <c r="AE136" s="58"/>
      <c r="AF136" s="9"/>
      <c r="CF136" s="3"/>
      <c r="CG136" s="3"/>
    </row>
    <row r="137" spans="2:85" ht="15" customHeight="1">
      <c r="B137" s="7"/>
      <c r="C137" s="53"/>
      <c r="D137" s="53" t="s">
        <v>187</v>
      </c>
      <c r="E137" s="53" t="s">
        <v>24</v>
      </c>
      <c r="F137" s="52" t="str">
        <f>IF(H134&lt;&gt;"",VLOOKUP(H134,'Team Setup'!$B$5:$C$63,2,FALSE),"")</f>
        <v/>
      </c>
      <c r="G137" s="53"/>
      <c r="H137" s="160"/>
      <c r="I137" s="160"/>
      <c r="J137" s="160"/>
      <c r="K137" s="161"/>
      <c r="L137" s="160"/>
      <c r="M137" s="160"/>
      <c r="N137" s="160"/>
      <c r="O137" s="160"/>
      <c r="P137" s="160"/>
      <c r="R137" s="158"/>
      <c r="S137" s="158"/>
      <c r="T137" s="158"/>
      <c r="U137" s="158"/>
      <c r="V137" s="158"/>
      <c r="W137" s="158"/>
      <c r="X137" s="158"/>
      <c r="Y137" s="158"/>
      <c r="Z137" s="158"/>
      <c r="AA137" s="57"/>
      <c r="AB137" s="57"/>
      <c r="AC137" s="57" t="s">
        <v>187</v>
      </c>
      <c r="AD137" s="57" t="s">
        <v>24</v>
      </c>
      <c r="AE137" s="58" t="str">
        <f>IF(Z134&lt;&gt;"",VLOOKUP(Z134,'Team Setup'!$B$5:$C$63,2,FALSE),"")</f>
        <v/>
      </c>
      <c r="AF137" s="9"/>
      <c r="CF137" s="3"/>
      <c r="CG137" s="3"/>
    </row>
    <row r="138" spans="2:85" ht="15" customHeight="1">
      <c r="B138" s="7"/>
      <c r="C138" s="53"/>
      <c r="D138" s="53"/>
      <c r="E138" s="53"/>
      <c r="F138" s="52" t="str">
        <f>IF(H134&lt;&gt;"",VLOOKUP(H134,'Team Setup'!$B$5:$D$63,3,FALSE),"")</f>
        <v/>
      </c>
      <c r="G138" s="53"/>
      <c r="H138" s="17"/>
      <c r="I138" s="17"/>
      <c r="J138" s="17"/>
      <c r="K138" s="170"/>
      <c r="L138" s="17"/>
      <c r="M138" s="17"/>
      <c r="N138" s="17" t="s">
        <v>186</v>
      </c>
      <c r="O138" s="17" t="s">
        <v>24</v>
      </c>
      <c r="P138" s="19" t="str">
        <f>IF(AND(P139&lt;&gt;"",R139&lt;&gt;""),IF(AND(V136&lt;&gt;"",X136&lt;&gt;"",V136&gt;X136),N139&amp;" win on Penalty Kick",IF(AND(V136&lt;&gt;"",X136&lt;&gt;"",V136&lt;X136),T139&amp;" win on Penalty Kick",IF(P139&gt;R139,N139&amp;" win",IF(R139&gt;P139,T139&amp;" win",IF(AND(P139=R139,L134&gt;V134),T139&amp;" win on away goals",IF(AND(P139=R139,L134&lt;V134+V135),N139&amp;" win on away goals","")))))),"")</f>
        <v/>
      </c>
      <c r="Q138" s="19"/>
      <c r="R138" s="19"/>
      <c r="S138" s="17"/>
      <c r="T138" s="17"/>
      <c r="U138" s="17"/>
      <c r="V138" s="17"/>
      <c r="W138" s="17"/>
      <c r="X138" s="17"/>
      <c r="Y138" s="17"/>
      <c r="Z138" s="17"/>
      <c r="AA138" s="57"/>
      <c r="AB138" s="57"/>
      <c r="AC138" s="57"/>
      <c r="AD138" s="57"/>
      <c r="AE138" s="58" t="str">
        <f>IF(Z134&lt;&gt;"",VLOOKUP(Z134,'Team Setup'!$B$5:$D$63,3,FALSE),"")</f>
        <v/>
      </c>
      <c r="AF138" s="9"/>
      <c r="CF138" s="3"/>
      <c r="CG138" s="3"/>
    </row>
    <row r="139" spans="2:85" ht="15" customHeight="1">
      <c r="B139" s="7"/>
      <c r="C139" s="53"/>
      <c r="D139" s="53"/>
      <c r="E139" s="53"/>
      <c r="F139" s="53"/>
      <c r="G139" s="53"/>
      <c r="H139" s="6"/>
      <c r="I139" s="6"/>
      <c r="J139" s="169"/>
      <c r="K139" s="20"/>
      <c r="L139" s="21"/>
      <c r="M139" s="169"/>
      <c r="N139" s="22" t="str">
        <f>H134</f>
        <v/>
      </c>
      <c r="O139" s="4"/>
      <c r="P139" s="23" t="str">
        <f>IF(AND(L134&lt;&gt;"",V134&lt;&gt;"",X134&lt;&gt;"",J134&lt;&gt;""),J134+V134+V135,"")</f>
        <v/>
      </c>
      <c r="Q139" s="24" t="s">
        <v>4</v>
      </c>
      <c r="R139" s="23" t="str">
        <f>IF(AND(L134&lt;&gt;"",V134&lt;&gt;"",X134&lt;&gt;"",J134&lt;&gt;""),L134+X134+X135,"")</f>
        <v/>
      </c>
      <c r="S139" s="4"/>
      <c r="T139" s="4" t="str">
        <f>Z134</f>
        <v/>
      </c>
      <c r="U139" s="6"/>
      <c r="V139" s="6"/>
      <c r="W139" s="6"/>
      <c r="X139" s="6"/>
      <c r="Y139" s="6"/>
      <c r="Z139" s="6"/>
      <c r="AA139" s="57"/>
      <c r="AB139" s="57"/>
      <c r="AC139" s="57"/>
      <c r="AD139" s="57"/>
      <c r="AE139" s="57"/>
      <c r="AF139" s="9"/>
      <c r="CF139" s="3"/>
      <c r="CG139" s="3"/>
    </row>
    <row r="140" spans="2:85" ht="15" customHeight="1">
      <c r="B140" s="7"/>
      <c r="G140" s="6"/>
      <c r="H140" s="6"/>
      <c r="I140" s="6"/>
      <c r="J140" s="6"/>
      <c r="K140" s="169"/>
      <c r="L140" s="6"/>
      <c r="M140" s="6"/>
      <c r="N140" s="6"/>
      <c r="O140" s="6"/>
      <c r="P140" s="6"/>
      <c r="Q140" s="6"/>
      <c r="R140" s="6"/>
      <c r="S140" s="6"/>
      <c r="T140" s="6"/>
      <c r="U140" s="6"/>
      <c r="V140" s="6"/>
      <c r="W140" s="6"/>
      <c r="X140" s="6"/>
      <c r="Y140" s="6"/>
      <c r="Z140" s="6"/>
      <c r="AA140" s="6"/>
      <c r="AD140" s="6"/>
      <c r="AE140" s="6"/>
      <c r="AF140" s="9"/>
      <c r="CF140" s="3"/>
      <c r="CG140" s="3"/>
    </row>
    <row r="141" spans="2:85" ht="15" customHeight="1">
      <c r="B141" s="7"/>
      <c r="C141" s="234" t="s">
        <v>185</v>
      </c>
      <c r="D141" s="234"/>
      <c r="E141" s="234"/>
      <c r="F141" s="234"/>
      <c r="G141" s="234"/>
      <c r="H141" s="234"/>
      <c r="I141" s="234"/>
      <c r="J141" s="234"/>
      <c r="K141" s="234"/>
      <c r="L141" s="234"/>
      <c r="M141" s="234"/>
      <c r="N141" s="234"/>
      <c r="O141" s="234"/>
      <c r="P141" s="234"/>
      <c r="Q141" s="6"/>
      <c r="R141" s="235" t="s">
        <v>184</v>
      </c>
      <c r="S141" s="235"/>
      <c r="T141" s="235"/>
      <c r="U141" s="235"/>
      <c r="V141" s="235"/>
      <c r="W141" s="235"/>
      <c r="X141" s="235"/>
      <c r="Y141" s="235"/>
      <c r="Z141" s="235"/>
      <c r="AA141" s="235"/>
      <c r="AB141" s="235"/>
      <c r="AC141" s="235"/>
      <c r="AD141" s="235"/>
      <c r="AE141" s="235"/>
      <c r="AF141" s="9"/>
      <c r="CF141" s="3"/>
      <c r="CG141" s="3"/>
    </row>
    <row r="142" spans="2:85" ht="15" customHeight="1">
      <c r="B142" s="7"/>
      <c r="C142" s="51"/>
      <c r="D142" s="51"/>
      <c r="E142" s="51"/>
      <c r="F142" s="51"/>
      <c r="G142" s="51"/>
      <c r="H142" s="51"/>
      <c r="I142" s="51"/>
      <c r="J142" s="51"/>
      <c r="K142" s="51"/>
      <c r="L142" s="51"/>
      <c r="M142" s="51"/>
      <c r="N142" s="51"/>
      <c r="O142" s="51"/>
      <c r="P142" s="51"/>
      <c r="Q142" s="4"/>
      <c r="R142" s="57"/>
      <c r="S142" s="57"/>
      <c r="T142" s="57"/>
      <c r="U142" s="57"/>
      <c r="V142" s="57"/>
      <c r="W142" s="57"/>
      <c r="X142" s="57"/>
      <c r="Y142" s="57"/>
      <c r="Z142" s="57"/>
      <c r="AA142" s="57"/>
      <c r="AB142" s="57"/>
      <c r="AC142" s="57"/>
      <c r="AD142" s="57"/>
      <c r="AE142" s="57"/>
      <c r="AF142" s="9"/>
      <c r="CF142" s="3"/>
      <c r="CG142" s="3"/>
    </row>
    <row r="143" spans="2:85" ht="15" customHeight="1">
      <c r="B143" s="7"/>
      <c r="C143" s="53"/>
      <c r="D143" s="53" t="s">
        <v>16</v>
      </c>
      <c r="E143" s="53" t="s">
        <v>24</v>
      </c>
      <c r="F143" s="54">
        <v>16</v>
      </c>
      <c r="G143" s="55"/>
      <c r="H143" s="68" t="str">
        <f>IF(ISNA(VLOOKUP(F143,'Group Stages'!$V$131:$X$148,3,FALSE)),"",VLOOKUP(F143,'Group Stages'!$V$131:$X$148,3,FALSE))</f>
        <v/>
      </c>
      <c r="I143" s="53"/>
      <c r="J143" s="52"/>
      <c r="K143" s="52" t="s">
        <v>4</v>
      </c>
      <c r="L143" s="52"/>
      <c r="M143" s="53"/>
      <c r="N143" s="69" t="str">
        <f>Z143</f>
        <v/>
      </c>
      <c r="O143" s="53"/>
      <c r="P143" s="53"/>
      <c r="Q143" s="6"/>
      <c r="R143" s="57"/>
      <c r="S143" s="57"/>
      <c r="T143" s="66" t="str">
        <f>H143</f>
        <v/>
      </c>
      <c r="U143" s="57"/>
      <c r="V143" s="58"/>
      <c r="W143" s="58" t="s">
        <v>4</v>
      </c>
      <c r="X143" s="58"/>
      <c r="Y143" s="57"/>
      <c r="Z143" s="67" t="str">
        <f>IF(ISNA(VLOOKUP(AE143,'Group Stages'!$V$111:$X$128,3,FALSE)),"",VLOOKUP(AE143,'Group Stages'!$V$111:$X$128,3,FALSE))</f>
        <v/>
      </c>
      <c r="AA143" s="57"/>
      <c r="AB143" s="57"/>
      <c r="AC143" s="57" t="s">
        <v>16</v>
      </c>
      <c r="AD143" s="57" t="s">
        <v>24</v>
      </c>
      <c r="AE143" s="59">
        <f>F143</f>
        <v>16</v>
      </c>
      <c r="AF143" s="9"/>
      <c r="CF143" s="3"/>
      <c r="CG143" s="3"/>
    </row>
    <row r="144" spans="2:85" ht="15" customHeight="1">
      <c r="B144" s="7"/>
      <c r="C144" s="53"/>
      <c r="D144" s="53" t="s">
        <v>1</v>
      </c>
      <c r="E144" s="53" t="s">
        <v>24</v>
      </c>
      <c r="F144" s="56"/>
      <c r="G144" s="53"/>
      <c r="H144" s="53"/>
      <c r="I144" s="53"/>
      <c r="J144" s="53"/>
      <c r="K144" s="52"/>
      <c r="L144" s="53"/>
      <c r="M144" s="53"/>
      <c r="N144" s="53"/>
      <c r="O144" s="53"/>
      <c r="P144" s="53"/>
      <c r="Q144" s="6"/>
      <c r="R144" s="57"/>
      <c r="S144" s="57"/>
      <c r="T144" s="57"/>
      <c r="U144" s="162" t="s">
        <v>223</v>
      </c>
      <c r="V144" s="58"/>
      <c r="W144" s="162" t="s">
        <v>4</v>
      </c>
      <c r="X144" s="58"/>
      <c r="Y144" s="57"/>
      <c r="Z144" s="57"/>
      <c r="AA144" s="57"/>
      <c r="AB144" s="57"/>
      <c r="AC144" s="57" t="s">
        <v>1</v>
      </c>
      <c r="AD144" s="57" t="s">
        <v>24</v>
      </c>
      <c r="AE144" s="60"/>
      <c r="AF144" s="9"/>
      <c r="CF144" s="3"/>
      <c r="CG144" s="3"/>
    </row>
    <row r="145" spans="2:85" ht="15" customHeight="1">
      <c r="B145" s="7"/>
      <c r="C145" s="53"/>
      <c r="D145" s="53" t="s">
        <v>2</v>
      </c>
      <c r="E145" s="53" t="s">
        <v>24</v>
      </c>
      <c r="F145" s="53"/>
      <c r="G145" s="53"/>
      <c r="H145" s="160"/>
      <c r="I145" s="160"/>
      <c r="J145" s="160"/>
      <c r="K145" s="161"/>
      <c r="L145" s="160"/>
      <c r="M145" s="160"/>
      <c r="N145" s="160"/>
      <c r="O145" s="160"/>
      <c r="P145" s="160"/>
      <c r="R145" s="158"/>
      <c r="S145" s="158"/>
      <c r="T145" s="158"/>
      <c r="U145" s="163" t="s">
        <v>222</v>
      </c>
      <c r="V145" s="159"/>
      <c r="W145" s="162" t="s">
        <v>4</v>
      </c>
      <c r="X145" s="159"/>
      <c r="Y145" s="158"/>
      <c r="Z145" s="158"/>
      <c r="AA145" s="57"/>
      <c r="AB145" s="57"/>
      <c r="AC145" s="57" t="s">
        <v>2</v>
      </c>
      <c r="AD145" s="57" t="s">
        <v>24</v>
      </c>
      <c r="AE145" s="58"/>
      <c r="AF145" s="9"/>
      <c r="CF145" s="3"/>
      <c r="CG145" s="3"/>
    </row>
    <row r="146" spans="2:85" ht="15" customHeight="1">
      <c r="B146" s="7"/>
      <c r="C146" s="53"/>
      <c r="D146" s="53" t="s">
        <v>187</v>
      </c>
      <c r="E146" s="53" t="s">
        <v>24</v>
      </c>
      <c r="F146" s="52" t="str">
        <f>IF(H143&lt;&gt;"",VLOOKUP(H143,'Team Setup'!$B$5:$C$63,2,FALSE),"")</f>
        <v/>
      </c>
      <c r="G146" s="53"/>
      <c r="H146" s="160"/>
      <c r="I146" s="160"/>
      <c r="J146" s="160"/>
      <c r="K146" s="161"/>
      <c r="L146" s="160"/>
      <c r="M146" s="160"/>
      <c r="N146" s="160"/>
      <c r="O146" s="160"/>
      <c r="P146" s="160"/>
      <c r="R146" s="158"/>
      <c r="S146" s="158"/>
      <c r="T146" s="158"/>
      <c r="U146" s="158"/>
      <c r="V146" s="158"/>
      <c r="W146" s="158"/>
      <c r="X146" s="158"/>
      <c r="Y146" s="158"/>
      <c r="Z146" s="158"/>
      <c r="AA146" s="57"/>
      <c r="AB146" s="57"/>
      <c r="AC146" s="57" t="s">
        <v>187</v>
      </c>
      <c r="AD146" s="57" t="s">
        <v>24</v>
      </c>
      <c r="AE146" s="58" t="str">
        <f>IF(Z143&lt;&gt;"",VLOOKUP(Z143,'Team Setup'!$B$5:$C$63,2,FALSE),"")</f>
        <v/>
      </c>
      <c r="AF146" s="9"/>
      <c r="CF146" s="3"/>
      <c r="CG146" s="3"/>
    </row>
    <row r="147" spans="2:85" ht="15" customHeight="1">
      <c r="B147" s="7"/>
      <c r="C147" s="53"/>
      <c r="D147" s="53"/>
      <c r="E147" s="53"/>
      <c r="F147" s="52" t="str">
        <f>IF(H143&lt;&gt;"",VLOOKUP(H143,'Team Setup'!$B$5:$D$63,3,FALSE),"")</f>
        <v/>
      </c>
      <c r="G147" s="53"/>
      <c r="H147" s="17"/>
      <c r="I147" s="17"/>
      <c r="J147" s="17"/>
      <c r="K147" s="170"/>
      <c r="L147" s="17"/>
      <c r="M147" s="17"/>
      <c r="N147" s="17" t="s">
        <v>186</v>
      </c>
      <c r="O147" s="17" t="s">
        <v>24</v>
      </c>
      <c r="P147" s="19" t="str">
        <f>IF(AND(P148&lt;&gt;"",R148&lt;&gt;""),IF(AND(V145&lt;&gt;"",X145&lt;&gt;"",V145&gt;X145),N148&amp;" win on Penalty Kick",IF(AND(V145&lt;&gt;"",X145&lt;&gt;"",V145&lt;X145),T148&amp;" win on Penalty Kick",IF(P148&gt;R148,N148&amp;" win",IF(R148&gt;P148,T148&amp;" win",IF(AND(P148=R148,L143&gt;V143),T148&amp;" win on away goals",IF(AND(P148=R148,L143&lt;V143+V144),N148&amp;" win on away goals","")))))),"")</f>
        <v/>
      </c>
      <c r="Q147" s="19"/>
      <c r="R147" s="19"/>
      <c r="S147" s="17"/>
      <c r="T147" s="17"/>
      <c r="U147" s="17"/>
      <c r="V147" s="17"/>
      <c r="W147" s="17"/>
      <c r="X147" s="17"/>
      <c r="Y147" s="17"/>
      <c r="Z147" s="17"/>
      <c r="AA147" s="57"/>
      <c r="AB147" s="57"/>
      <c r="AC147" s="57"/>
      <c r="AD147" s="57"/>
      <c r="AE147" s="58" t="str">
        <f>IF(Z143&lt;&gt;"",VLOOKUP(Z143,'Team Setup'!$B$5:$D$63,3,FALSE),"")</f>
        <v/>
      </c>
      <c r="AF147" s="9"/>
      <c r="CF147" s="3"/>
      <c r="CG147" s="3"/>
    </row>
    <row r="148" spans="2:85" ht="15" customHeight="1">
      <c r="B148" s="7"/>
      <c r="C148" s="53"/>
      <c r="D148" s="53"/>
      <c r="E148" s="53"/>
      <c r="F148" s="53"/>
      <c r="G148" s="53"/>
      <c r="H148" s="6"/>
      <c r="I148" s="6"/>
      <c r="J148" s="169"/>
      <c r="K148" s="20"/>
      <c r="L148" s="21"/>
      <c r="M148" s="169"/>
      <c r="N148" s="22" t="str">
        <f>H143</f>
        <v/>
      </c>
      <c r="O148" s="4"/>
      <c r="P148" s="23" t="str">
        <f>IF(AND(L143&lt;&gt;"",V143&lt;&gt;"",X143&lt;&gt;"",J143&lt;&gt;""),J143+V143+V144,"")</f>
        <v/>
      </c>
      <c r="Q148" s="24" t="s">
        <v>4</v>
      </c>
      <c r="R148" s="23" t="str">
        <f>IF(AND(L143&lt;&gt;"",V143&lt;&gt;"",X143&lt;&gt;"",J143&lt;&gt;""),L143+X143+X144,"")</f>
        <v/>
      </c>
      <c r="S148" s="4"/>
      <c r="T148" s="4" t="str">
        <f>Z143</f>
        <v/>
      </c>
      <c r="U148" s="6"/>
      <c r="V148" s="6"/>
      <c r="W148" s="6"/>
      <c r="X148" s="6"/>
      <c r="Y148" s="6"/>
      <c r="Z148" s="6"/>
      <c r="AA148" s="57"/>
      <c r="AB148" s="57"/>
      <c r="AC148" s="57"/>
      <c r="AD148" s="57"/>
      <c r="AE148" s="57"/>
      <c r="AF148" s="9"/>
      <c r="CF148" s="3"/>
      <c r="CG148" s="3"/>
    </row>
    <row r="149" spans="2:85" ht="15" customHeight="1">
      <c r="B149" s="7"/>
      <c r="G149" s="6"/>
      <c r="H149" s="6"/>
      <c r="I149" s="6"/>
      <c r="J149" s="6"/>
      <c r="K149" s="169"/>
      <c r="L149" s="6"/>
      <c r="M149" s="6"/>
      <c r="N149" s="6"/>
      <c r="O149" s="6"/>
      <c r="P149" s="6"/>
      <c r="Q149" s="6"/>
      <c r="R149" s="6"/>
      <c r="S149" s="6"/>
      <c r="T149" s="6"/>
      <c r="U149" s="6"/>
      <c r="V149" s="6"/>
      <c r="W149" s="6"/>
      <c r="X149" s="6"/>
      <c r="Y149" s="6"/>
      <c r="Z149" s="6"/>
      <c r="AA149" s="6"/>
      <c r="AD149" s="6"/>
      <c r="AE149" s="6"/>
      <c r="AF149" s="9"/>
      <c r="CF149" s="3"/>
      <c r="CG149" s="3"/>
    </row>
    <row r="150" spans="2:85" ht="15" customHeight="1">
      <c r="B150" s="7"/>
      <c r="C150" s="243" t="s">
        <v>438</v>
      </c>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9"/>
      <c r="CF150" s="3"/>
      <c r="CG150" s="3"/>
    </row>
    <row r="151" spans="2:85" ht="15" customHeight="1">
      <c r="B151" s="7"/>
      <c r="C151" s="5"/>
      <c r="D151" s="5"/>
      <c r="E151" s="5"/>
      <c r="F151" s="5"/>
      <c r="G151" s="5"/>
      <c r="H151" s="5"/>
      <c r="I151" s="5"/>
      <c r="J151" s="5"/>
      <c r="K151" s="28"/>
      <c r="L151" s="5"/>
      <c r="M151" s="5"/>
      <c r="N151" s="5"/>
      <c r="O151" s="5"/>
      <c r="P151" s="5"/>
      <c r="Q151" s="5"/>
      <c r="R151" s="5"/>
      <c r="S151" s="5"/>
      <c r="T151" s="29"/>
      <c r="U151" s="29"/>
      <c r="V151" s="29"/>
      <c r="W151" s="28"/>
      <c r="X151" s="29"/>
      <c r="Y151" s="29"/>
      <c r="Z151" s="29"/>
      <c r="AA151" s="5"/>
      <c r="AB151" s="5"/>
      <c r="AC151" s="5"/>
      <c r="AD151" s="5"/>
      <c r="AE151" s="5"/>
      <c r="AF151" s="9"/>
      <c r="CF151" s="3"/>
      <c r="CG151" s="3"/>
    </row>
    <row r="152" spans="2:85" ht="15" customHeight="1">
      <c r="B152" s="7"/>
      <c r="H152" s="2" t="s">
        <v>203</v>
      </c>
      <c r="J152" s="5"/>
      <c r="K152" s="28"/>
      <c r="L152" s="5"/>
      <c r="M152" s="5"/>
      <c r="N152" s="2" t="s">
        <v>204</v>
      </c>
      <c r="O152" s="5"/>
      <c r="P152" s="5"/>
      <c r="Q152" s="5"/>
      <c r="R152" s="5"/>
      <c r="S152" s="5"/>
      <c r="T152" s="34" t="s">
        <v>278</v>
      </c>
      <c r="U152" s="6"/>
      <c r="V152" s="5"/>
      <c r="W152" s="1" t="s">
        <v>24</v>
      </c>
      <c r="X152" s="5"/>
      <c r="Y152" s="5"/>
      <c r="Z152" s="35" t="str">
        <f>IF(AND(P13&lt;&gt;"",R13&lt;&gt;""),IF(AND(V10&lt;&gt;"",X10&lt;&gt;"",V10&gt;X10),N13,IF(AND(V10&lt;&gt;"",X10&lt;&gt;"",V10&lt;X10),T13,IF(P13&gt;R13,N13,IF(R13&gt;P13,T13,IF(AND(P13=R13,L8&gt;V8),T13,IF(AND(P13=R13,L8&lt;V8+V9),N13,"")))))),"")</f>
        <v/>
      </c>
      <c r="AA152" s="5"/>
      <c r="AB152" s="5"/>
      <c r="AC152" s="5"/>
      <c r="AD152" s="5"/>
      <c r="AE152" s="5"/>
      <c r="AF152" s="9"/>
      <c r="CF152" s="3"/>
      <c r="CG152" s="3"/>
    </row>
    <row r="153" spans="2:85" ht="15" customHeight="1">
      <c r="B153" s="7"/>
      <c r="C153" s="5"/>
      <c r="D153" s="5"/>
      <c r="E153" s="4" t="s">
        <v>294</v>
      </c>
      <c r="G153" s="5"/>
      <c r="H153" s="31"/>
      <c r="I153" s="32"/>
      <c r="J153" s="32"/>
      <c r="K153" s="33" t="s">
        <v>201</v>
      </c>
      <c r="L153" s="32"/>
      <c r="M153" s="32"/>
      <c r="N153" s="31"/>
      <c r="O153" s="5"/>
      <c r="P153" s="5"/>
      <c r="Q153" s="5"/>
      <c r="R153" s="5"/>
      <c r="S153" s="5"/>
      <c r="T153" s="34" t="s">
        <v>279</v>
      </c>
      <c r="U153" s="6"/>
      <c r="V153" s="5"/>
      <c r="W153" s="1" t="s">
        <v>24</v>
      </c>
      <c r="X153" s="5"/>
      <c r="Y153" s="5"/>
      <c r="Z153" s="35" t="str">
        <f>IF(AND(P22&lt;&gt;"",R22&lt;&gt;""),IF(AND(V19&lt;&gt;"",X19&lt;&gt;"",V19&gt;X19),N22,IF(AND(V19&lt;&gt;"",X19&lt;&gt;"",V19&lt;X19),T22,IF(P22&gt;R22,N22,IF(R22&gt;P22,T22,IF(AND(P22=R22,L17&gt;V17),T22,IF(AND(P22=R22,L17&lt;V17+V18),N22,"")))))),"")</f>
        <v/>
      </c>
      <c r="AA153" s="5"/>
      <c r="AB153" s="5"/>
      <c r="AC153" s="5"/>
      <c r="AD153" s="5"/>
      <c r="AE153" s="5"/>
      <c r="AF153" s="9"/>
      <c r="AI153" s="35"/>
      <c r="CF153" s="3"/>
      <c r="CG153" s="3"/>
    </row>
    <row r="154" spans="2:85" ht="15" customHeight="1">
      <c r="B154" s="7"/>
      <c r="C154" s="5"/>
      <c r="D154" s="5"/>
      <c r="E154" s="4" t="s">
        <v>295</v>
      </c>
      <c r="G154" s="5"/>
      <c r="H154" s="31"/>
      <c r="I154" s="32"/>
      <c r="J154" s="32"/>
      <c r="K154" s="33" t="s">
        <v>201</v>
      </c>
      <c r="L154" s="32"/>
      <c r="M154" s="32"/>
      <c r="N154" s="31"/>
      <c r="O154" s="5"/>
      <c r="P154" s="5"/>
      <c r="Q154" s="5"/>
      <c r="R154" s="5"/>
      <c r="S154" s="5"/>
      <c r="T154" s="34" t="s">
        <v>280</v>
      </c>
      <c r="U154" s="6"/>
      <c r="V154" s="5"/>
      <c r="W154" s="1" t="s">
        <v>24</v>
      </c>
      <c r="X154" s="5"/>
      <c r="Y154" s="5"/>
      <c r="Z154" s="36" t="str">
        <f>IF(AND(P31&lt;&gt;"",R31&lt;&gt;""),IF(AND(V28&lt;&gt;"",X28&lt;&gt;"",V28&gt;X28),N31,IF(AND(V28&lt;&gt;"",X28&lt;&gt;"",V28&lt;X28),T31,IF(P31&gt;R31,N31,IF(R31&gt;P31,T31,IF(AND(P31=R31,L26&gt;V26),T31,IF(AND(P31=R31,L26&lt;V26+V27),N31,"")))))),"")</f>
        <v/>
      </c>
      <c r="AA154" s="5"/>
      <c r="AB154" s="5"/>
      <c r="AC154" s="5"/>
      <c r="AD154" s="5"/>
      <c r="AE154" s="5"/>
      <c r="AF154" s="9"/>
      <c r="AI154" s="35"/>
      <c r="CF154" s="3"/>
      <c r="CG154" s="3"/>
    </row>
    <row r="155" spans="2:85" ht="15" customHeight="1">
      <c r="B155" s="7"/>
      <c r="C155" s="5"/>
      <c r="D155" s="5"/>
      <c r="E155" s="4" t="s">
        <v>296</v>
      </c>
      <c r="G155" s="5"/>
      <c r="H155" s="31"/>
      <c r="I155" s="32"/>
      <c r="J155" s="32"/>
      <c r="K155" s="33" t="s">
        <v>201</v>
      </c>
      <c r="L155" s="32"/>
      <c r="M155" s="32"/>
      <c r="N155" s="31"/>
      <c r="O155" s="5"/>
      <c r="P155" s="5"/>
      <c r="Q155" s="5"/>
      <c r="R155" s="5"/>
      <c r="S155" s="5"/>
      <c r="T155" s="34" t="s">
        <v>281</v>
      </c>
      <c r="U155" s="6"/>
      <c r="V155" s="5"/>
      <c r="W155" s="1" t="s">
        <v>24</v>
      </c>
      <c r="X155" s="5"/>
      <c r="Y155" s="5"/>
      <c r="Z155" s="36" t="str">
        <f>IF(AND(P40&lt;&gt;"",R40&lt;&gt;""),IF(AND(V37&lt;&gt;"",X37&lt;&gt;"",V37&gt;X37),N40,IF(AND(V37&lt;&gt;"",X37&lt;&gt;"",V37&lt;X37),T40,IF(P40&gt;R40,N40,IF(R40&gt;P40,T40,IF(AND(P40=R40,L35&gt;V35),T40,IF(AND(P40=R40,L35&lt;V35+V36),N40,"")))))),"")</f>
        <v/>
      </c>
      <c r="AA155" s="5"/>
      <c r="AB155" s="5"/>
      <c r="AC155" s="5"/>
      <c r="AD155" s="5"/>
      <c r="AE155" s="5"/>
      <c r="AF155" s="9"/>
      <c r="AI155" s="35"/>
      <c r="CF155" s="3"/>
      <c r="CG155" s="3"/>
    </row>
    <row r="156" spans="2:85" ht="15" customHeight="1">
      <c r="B156" s="7"/>
      <c r="C156" s="5"/>
      <c r="D156" s="5"/>
      <c r="E156" s="4" t="s">
        <v>297</v>
      </c>
      <c r="G156" s="5"/>
      <c r="H156" s="31"/>
      <c r="I156" s="32"/>
      <c r="J156" s="32"/>
      <c r="K156" s="33" t="s">
        <v>201</v>
      </c>
      <c r="L156" s="32"/>
      <c r="M156" s="32"/>
      <c r="N156" s="31"/>
      <c r="O156" s="5"/>
      <c r="P156" s="5"/>
      <c r="Q156" s="5"/>
      <c r="R156" s="5"/>
      <c r="S156" s="5"/>
      <c r="T156" s="34" t="s">
        <v>282</v>
      </c>
      <c r="U156" s="6"/>
      <c r="V156" s="5"/>
      <c r="W156" s="1" t="s">
        <v>24</v>
      </c>
      <c r="X156" s="5"/>
      <c r="Y156" s="5"/>
      <c r="Z156" s="36" t="str">
        <f>IF(AND(P49&lt;&gt;"",R49&lt;&gt;""),IF(AND(V46&lt;&gt;"",X46&lt;&gt;"",V46&gt;X46),N49,IF(AND(V46&lt;&gt;"",X46&lt;&gt;"",V46&lt;X46),T49,IF(P49&gt;R49,N49,IF(R49&gt;P49,T49,IF(AND(P49=R49,L44&gt;V44),T49,IF(AND(P49=R49,L44&lt;V44+V45),N49,"")))))),"")</f>
        <v/>
      </c>
      <c r="AA156" s="5"/>
      <c r="AB156" s="5"/>
      <c r="AC156" s="5"/>
      <c r="AD156" s="5"/>
      <c r="AE156" s="5"/>
      <c r="AF156" s="9"/>
      <c r="AI156" s="35"/>
      <c r="CF156" s="3"/>
      <c r="CG156" s="3"/>
    </row>
    <row r="157" spans="2:85" ht="15" customHeight="1">
      <c r="B157" s="7"/>
      <c r="C157" s="5"/>
      <c r="D157" s="5"/>
      <c r="E157" s="4" t="s">
        <v>298</v>
      </c>
      <c r="G157" s="5"/>
      <c r="H157" s="31"/>
      <c r="I157" s="32"/>
      <c r="J157" s="32"/>
      <c r="K157" s="33" t="s">
        <v>201</v>
      </c>
      <c r="L157" s="32"/>
      <c r="M157" s="32"/>
      <c r="N157" s="31"/>
      <c r="O157" s="5"/>
      <c r="P157" s="5"/>
      <c r="Q157" s="5"/>
      <c r="R157" s="5"/>
      <c r="S157" s="5"/>
      <c r="T157" s="34" t="s">
        <v>283</v>
      </c>
      <c r="U157" s="6"/>
      <c r="V157" s="6"/>
      <c r="W157" s="1" t="s">
        <v>24</v>
      </c>
      <c r="X157" s="6"/>
      <c r="Y157" s="5"/>
      <c r="Z157" s="35" t="str">
        <f>IF(AND(P58&lt;&gt;"",R58&lt;&gt;""),IF(AND(V55&lt;&gt;"",X55&lt;&gt;"",V55&gt;X55),N58,IF(AND(V55&lt;&gt;"",X55&lt;&gt;"",V55&lt;X55),T58,IF(P58&gt;R58,N58,IF(R58&gt;P58,T58,IF(AND(P58=R58,L53&gt;V53),T58,IF(AND(P58=R58,L53&lt;V53+V54),N58,"")))))),"")</f>
        <v/>
      </c>
      <c r="AA157" s="5"/>
      <c r="AB157" s="5"/>
      <c r="AC157" s="5"/>
      <c r="AD157" s="5"/>
      <c r="AE157" s="5"/>
      <c r="AF157" s="9"/>
      <c r="AI157" s="35"/>
      <c r="CF157" s="3"/>
      <c r="CG157" s="3"/>
    </row>
    <row r="158" spans="2:85" ht="15" customHeight="1">
      <c r="B158" s="7"/>
      <c r="C158" s="5"/>
      <c r="D158" s="5"/>
      <c r="E158" s="4" t="s">
        <v>299</v>
      </c>
      <c r="H158" s="31"/>
      <c r="I158" s="32"/>
      <c r="J158" s="32"/>
      <c r="K158" s="33" t="s">
        <v>201</v>
      </c>
      <c r="L158" s="32"/>
      <c r="M158" s="32"/>
      <c r="N158" s="31"/>
      <c r="O158" s="5"/>
      <c r="P158" s="5"/>
      <c r="Q158" s="5"/>
      <c r="R158" s="5"/>
      <c r="S158" s="5"/>
      <c r="T158" s="34" t="s">
        <v>284</v>
      </c>
      <c r="U158" s="6"/>
      <c r="V158" s="6"/>
      <c r="W158" s="1" t="s">
        <v>24</v>
      </c>
      <c r="X158" s="168"/>
      <c r="Y158" s="168"/>
      <c r="Z158" s="35" t="str">
        <f>IF(AND(P67&lt;&gt;"",R67&lt;&gt;""),IF(AND(V64&lt;&gt;"",X64&lt;&gt;"",V64&gt;X64),N67,IF(AND(V64&lt;&gt;"",X64&lt;&gt;"",V64&lt;X64),T67,IF(P67&gt;R67,N67,IF(R67&gt;P67,T67,IF(AND(P67=R67,L62&gt;V62),T67,IF(AND(P67=R67,L62&lt;V62+V63),N67,"")))))),"")</f>
        <v/>
      </c>
      <c r="AA158" s="5"/>
      <c r="AB158" s="5"/>
      <c r="AC158" s="5"/>
      <c r="AD158" s="5"/>
      <c r="AE158" s="5"/>
      <c r="AF158" s="9"/>
      <c r="AI158" s="35"/>
      <c r="CF158" s="3"/>
      <c r="CG158" s="3"/>
    </row>
    <row r="159" spans="2:85" ht="15" customHeight="1">
      <c r="B159" s="7"/>
      <c r="C159" s="5"/>
      <c r="D159" s="5"/>
      <c r="E159" s="4" t="s">
        <v>300</v>
      </c>
      <c r="H159" s="31"/>
      <c r="I159" s="32"/>
      <c r="J159" s="32"/>
      <c r="K159" s="33" t="s">
        <v>201</v>
      </c>
      <c r="L159" s="32"/>
      <c r="M159" s="32"/>
      <c r="N159" s="31"/>
      <c r="O159" s="5"/>
      <c r="P159" s="5"/>
      <c r="Q159" s="5"/>
      <c r="R159" s="5"/>
      <c r="S159" s="5"/>
      <c r="T159" s="34" t="s">
        <v>285</v>
      </c>
      <c r="U159" s="6"/>
      <c r="V159" s="6"/>
      <c r="W159" s="1" t="s">
        <v>24</v>
      </c>
      <c r="X159" s="168"/>
      <c r="Y159" s="168"/>
      <c r="Z159" s="35" t="str">
        <f>IF(AND(P76&lt;&gt;"",R76&lt;&gt;""),IF(AND(V73&lt;&gt;"",X73&lt;&gt;"",V73&gt;X73),N76,IF(AND(V73&lt;&gt;"",X73&lt;&gt;"",V73&lt;X73),T76,IF(P76&gt;R76,N76,IF(R76&gt;P76,T76,IF(AND(P76=R76,L71&gt;V71),T76,IF(AND(P76=R76,L71&lt;V71+V72),N76,"")))))),"")</f>
        <v/>
      </c>
      <c r="AA159" s="5"/>
      <c r="AB159" s="5"/>
      <c r="AC159" s="5"/>
      <c r="AD159" s="5"/>
      <c r="AE159" s="5"/>
      <c r="AF159" s="9"/>
      <c r="AI159" s="35"/>
      <c r="CF159" s="3"/>
      <c r="CG159" s="3"/>
    </row>
    <row r="160" spans="2:85" ht="15" customHeight="1">
      <c r="B160" s="7"/>
      <c r="C160" s="5"/>
      <c r="D160" s="5"/>
      <c r="E160" s="4" t="s">
        <v>301</v>
      </c>
      <c r="H160" s="31"/>
      <c r="I160" s="32"/>
      <c r="J160" s="32"/>
      <c r="K160" s="33" t="s">
        <v>201</v>
      </c>
      <c r="L160" s="32"/>
      <c r="M160" s="32"/>
      <c r="N160" s="31"/>
      <c r="O160" s="5"/>
      <c r="P160" s="5"/>
      <c r="Q160" s="5"/>
      <c r="R160" s="5"/>
      <c r="S160" s="5"/>
      <c r="T160" s="34" t="s">
        <v>286</v>
      </c>
      <c r="U160" s="6"/>
      <c r="V160" s="6"/>
      <c r="W160" s="1" t="s">
        <v>24</v>
      </c>
      <c r="X160" s="35"/>
      <c r="Y160" s="35"/>
      <c r="Z160" s="35" t="str">
        <f>IF(AND(P85&lt;&gt;"",R85&lt;&gt;""),IF(AND(V82&lt;&gt;"",X82&lt;&gt;"",V82&gt;X82),N85,IF(AND(V82&lt;&gt;"",X82&lt;&gt;"",V82&lt;X82),T85,IF(P85&gt;R85,N85,IF(R85&gt;P85,T85,IF(AND(P85=R85,L80&gt;V80),T85,IF(AND(P85=R85,L80&lt;V80+V81),N85,"")))))),"")</f>
        <v/>
      </c>
      <c r="AA160" s="5"/>
      <c r="AB160" s="5"/>
      <c r="AC160" s="5"/>
      <c r="AD160" s="5"/>
      <c r="AE160" s="5"/>
      <c r="AF160" s="9"/>
      <c r="AI160" s="35"/>
      <c r="CF160" s="3"/>
      <c r="CG160" s="3"/>
    </row>
    <row r="161" spans="2:85" ht="15" customHeight="1">
      <c r="B161" s="7"/>
      <c r="C161" s="5"/>
      <c r="D161" s="5"/>
      <c r="I161" s="6"/>
      <c r="J161" s="5"/>
      <c r="K161" s="8"/>
      <c r="L161" s="6"/>
      <c r="M161" s="5"/>
      <c r="N161" s="5"/>
      <c r="O161" s="5"/>
      <c r="P161" s="5"/>
      <c r="Q161" s="5"/>
      <c r="R161" s="5"/>
      <c r="S161" s="5"/>
      <c r="T161" s="34" t="s">
        <v>287</v>
      </c>
      <c r="U161" s="6"/>
      <c r="V161" s="6"/>
      <c r="W161" s="1" t="s">
        <v>24</v>
      </c>
      <c r="X161" s="35"/>
      <c r="Y161" s="35"/>
      <c r="Z161" s="35" t="str">
        <f>IF(AND(P94&lt;&gt;"",R94&lt;&gt;""),IF(AND(V91&lt;&gt;"",X91&lt;&gt;"",V91&gt;X91),N94,IF(AND(V91&lt;&gt;"",X91&lt;&gt;"",V91&lt;X91),T94,IF(P94&gt;R94,N94,IF(R94&gt;P94,T94,IF(AND(P94=R94,L89&gt;V89),T94,IF(AND(P94=R94,L89&lt;V89+V90),N94,"")))))),"")</f>
        <v/>
      </c>
      <c r="AA161" s="5"/>
      <c r="AB161" s="5"/>
      <c r="AC161" s="5"/>
      <c r="AD161" s="5"/>
      <c r="AE161" s="5"/>
      <c r="AF161" s="9"/>
      <c r="CF161" s="3"/>
      <c r="CG161" s="3"/>
    </row>
    <row r="162" spans="2:85" ht="15" customHeight="1">
      <c r="B162" s="7"/>
      <c r="C162" s="5"/>
      <c r="I162" s="6"/>
      <c r="J162" s="5"/>
      <c r="K162" s="8"/>
      <c r="L162" s="6"/>
      <c r="M162" s="5"/>
      <c r="N162" s="5"/>
      <c r="O162" s="5"/>
      <c r="P162" s="5"/>
      <c r="Q162" s="5"/>
      <c r="R162" s="5"/>
      <c r="S162" s="5"/>
      <c r="T162" s="34" t="s">
        <v>288</v>
      </c>
      <c r="U162" s="5"/>
      <c r="V162" s="5"/>
      <c r="W162" s="1" t="s">
        <v>24</v>
      </c>
      <c r="X162" s="5"/>
      <c r="Y162" s="5"/>
      <c r="Z162" s="35" t="str">
        <f>IF(AND(P103&lt;&gt;"",R103&lt;&gt;""),IF(AND(V100&lt;&gt;"",X100&lt;&gt;"",V100&gt;X100),N103,IF(AND(V100&lt;&gt;"",X100&lt;&gt;"",V100&lt;X100),T103,IF(P103&gt;R103,N103,IF(R103&gt;P103,T103,IF(AND(P103=R103,L98&gt;V98),T103,IF(AND(P103=R103,L98&lt;V98+V99),N103,"")))))),"")</f>
        <v/>
      </c>
      <c r="AA162" s="5"/>
      <c r="AB162" s="5"/>
      <c r="AC162" s="5"/>
      <c r="AD162" s="5"/>
      <c r="AE162" s="5"/>
      <c r="AF162" s="9"/>
      <c r="AI162" s="35"/>
      <c r="CF162" s="3"/>
      <c r="CG162" s="3"/>
    </row>
    <row r="163" spans="2:85" ht="15" customHeight="1">
      <c r="B163" s="7"/>
      <c r="I163" s="6"/>
      <c r="J163" s="6"/>
      <c r="K163" s="8"/>
      <c r="L163" s="6"/>
      <c r="M163" s="6"/>
      <c r="N163" s="6"/>
      <c r="O163" s="6"/>
      <c r="P163" s="6"/>
      <c r="Q163" s="4"/>
      <c r="R163" s="6"/>
      <c r="S163" s="6"/>
      <c r="T163" s="34" t="s">
        <v>289</v>
      </c>
      <c r="U163" s="6"/>
      <c r="V163" s="6"/>
      <c r="W163" s="1" t="s">
        <v>24</v>
      </c>
      <c r="X163" s="6"/>
      <c r="Y163" s="6"/>
      <c r="Z163" s="35" t="str">
        <f>IF(AND(P112&lt;&gt;"",R112&lt;&gt;""),IF(AND(V109&lt;&gt;"",X109&lt;&gt;"",V109&gt;X109),N112,IF(AND(V109&lt;&gt;"",X109&lt;&gt;"",V109&lt;X109),T112,IF(P112&gt;R112,N112,IF(R112&gt;P112,T112,IF(AND(P112=R112,L107&gt;V107),T112,IF(AND(P112=R112,L107&lt;V107+V108),N112,"")))))),"")</f>
        <v/>
      </c>
      <c r="AA163" s="6"/>
      <c r="AB163" s="4"/>
      <c r="AC163" s="4"/>
      <c r="AD163" s="4"/>
      <c r="AE163" s="4"/>
      <c r="AF163" s="9"/>
      <c r="AI163" s="35"/>
      <c r="CF163" s="3"/>
      <c r="CG163" s="3"/>
    </row>
    <row r="164" spans="2:85" ht="15" customHeight="1">
      <c r="B164" s="7"/>
      <c r="I164" s="6"/>
      <c r="J164" s="8"/>
      <c r="K164" s="8"/>
      <c r="L164" s="6"/>
      <c r="M164" s="8"/>
      <c r="N164" s="8"/>
      <c r="O164" s="6"/>
      <c r="P164" s="6"/>
      <c r="Q164" s="4"/>
      <c r="R164" s="6"/>
      <c r="S164" s="6"/>
      <c r="T164" s="34" t="s">
        <v>290</v>
      </c>
      <c r="U164" s="26"/>
      <c r="V164" s="6"/>
      <c r="W164" s="1" t="s">
        <v>24</v>
      </c>
      <c r="X164" s="6"/>
      <c r="Y164" s="6"/>
      <c r="Z164" s="35" t="str">
        <f>IF(AND(P121&lt;&gt;"",R121&lt;&gt;""),IF(AND(V118&lt;&gt;"",X118&lt;&gt;"",V118&gt;X118),N121,IF(AND(V118&lt;&gt;"",X118&lt;&gt;"",V118&lt;X118),T121,IF(P121&gt;R121,N121,IF(R121&gt;P121,T121,IF(AND(P121=R121,L116&gt;V116),T121,IF(AND(P121=R121,L116&lt;V116+V117),N121,"")))))),"")</f>
        <v/>
      </c>
      <c r="AA164" s="6"/>
      <c r="AB164" s="4"/>
      <c r="AC164" s="4"/>
      <c r="AD164" s="4"/>
      <c r="AE164" s="4"/>
      <c r="AF164" s="9"/>
      <c r="AI164" s="35"/>
      <c r="CF164" s="3"/>
      <c r="CG164" s="3"/>
    </row>
    <row r="165" spans="2:85" ht="15" customHeight="1">
      <c r="B165" s="7"/>
      <c r="I165" s="6"/>
      <c r="J165" s="8"/>
      <c r="K165" s="8"/>
      <c r="L165" s="6"/>
      <c r="M165" s="8"/>
      <c r="N165" s="8"/>
      <c r="O165" s="37"/>
      <c r="P165" s="6"/>
      <c r="Q165" s="4"/>
      <c r="R165" s="6"/>
      <c r="S165" s="6"/>
      <c r="T165" s="34" t="s">
        <v>291</v>
      </c>
      <c r="U165" s="6"/>
      <c r="V165" s="6"/>
      <c r="W165" s="1" t="s">
        <v>24</v>
      </c>
      <c r="X165" s="6"/>
      <c r="Y165" s="6"/>
      <c r="Z165" s="35" t="str">
        <f>IF(AND(P130&lt;&gt;"",R130&lt;&gt;""),IF(AND(V127&lt;&gt;"",X127&lt;&gt;"",V127&gt;X127),N130,IF(AND(V127&lt;&gt;"",X127&lt;&gt;"",V127&lt;X127),T130,IF(P130&gt;R130,N130,IF(R130&gt;P130,T130,IF(AND(P130=R130,L125&gt;V125),T130,IF(AND(P130=R130,L125&lt;V125+V126),N130,"")))))),"")</f>
        <v/>
      </c>
      <c r="AA165" s="6"/>
      <c r="AB165" s="4"/>
      <c r="AC165" s="4"/>
      <c r="AD165" s="4"/>
      <c r="AE165" s="4"/>
      <c r="AF165" s="9"/>
      <c r="AI165" s="35"/>
      <c r="CF165" s="3"/>
      <c r="CG165" s="3"/>
    </row>
    <row r="166" spans="2:85" ht="15" customHeight="1">
      <c r="B166" s="7"/>
      <c r="G166" s="6"/>
      <c r="H166" s="6"/>
      <c r="I166" s="6"/>
      <c r="J166" s="253"/>
      <c r="K166" s="253"/>
      <c r="L166" s="253"/>
      <c r="M166" s="253"/>
      <c r="N166" s="253"/>
      <c r="O166" s="37"/>
      <c r="P166" s="6"/>
      <c r="Q166" s="6"/>
      <c r="R166" s="6"/>
      <c r="S166" s="6"/>
      <c r="T166" s="34" t="s">
        <v>292</v>
      </c>
      <c r="U166" s="6"/>
      <c r="V166" s="6"/>
      <c r="W166" s="1" t="s">
        <v>24</v>
      </c>
      <c r="X166" s="6"/>
      <c r="Y166" s="6"/>
      <c r="Z166" s="35" t="str">
        <f>IF(AND(P139&lt;&gt;"",R139&lt;&gt;""),IF(AND(V136&lt;&gt;"",X136&lt;&gt;"",V136&gt;X136),N139,IF(AND(V136&lt;&gt;"",X136&lt;&gt;"",V136&lt;X136),T139,IF(P139&gt;R139,N139,IF(R139&gt;P139,T139,IF(AND(P139=R139,L134&gt;V134),T139,IF(AND(P139=R139,L134&lt;V134+V135),N139,"")))))),"")</f>
        <v/>
      </c>
      <c r="AA166" s="6"/>
      <c r="AB166" s="4"/>
      <c r="AC166" s="4"/>
      <c r="AD166" s="38"/>
      <c r="AE166" s="38"/>
      <c r="AF166" s="9"/>
      <c r="AI166" s="35"/>
      <c r="CF166" s="3"/>
      <c r="CG166" s="3"/>
    </row>
    <row r="167" spans="2:85" ht="15" customHeight="1">
      <c r="B167" s="7"/>
      <c r="G167" s="6"/>
      <c r="H167" s="6"/>
      <c r="I167" s="6"/>
      <c r="J167" s="169"/>
      <c r="K167" s="169"/>
      <c r="L167" s="169"/>
      <c r="M167" s="169"/>
      <c r="N167" s="169"/>
      <c r="O167" s="37"/>
      <c r="P167" s="6"/>
      <c r="Q167" s="6"/>
      <c r="R167" s="6"/>
      <c r="S167" s="6"/>
      <c r="T167" s="34" t="s">
        <v>293</v>
      </c>
      <c r="U167" s="6"/>
      <c r="V167" s="6"/>
      <c r="W167" s="1" t="s">
        <v>24</v>
      </c>
      <c r="X167" s="6"/>
      <c r="Y167" s="6"/>
      <c r="Z167" s="35" t="str">
        <f>IF(AND(P148&lt;&gt;"",R148&lt;&gt;""),IF(AND(V145&lt;&gt;"",X145&lt;&gt;"",V145&gt;X145),N148,IF(AND(V145&lt;&gt;"",X145&lt;&gt;"",V145&lt;X145),T148,IF(P148&gt;R148,N148,IF(R148&gt;P148,T148,IF(AND(P148=R148,L143&gt;V143),T148,IF(AND(P148=R148,L143&lt;V143+V144),N148,"")))))),"")</f>
        <v/>
      </c>
      <c r="AA167" s="6"/>
      <c r="AB167" s="4"/>
      <c r="AC167" s="4"/>
      <c r="AD167" s="38"/>
      <c r="AE167" s="38"/>
      <c r="AF167" s="9"/>
      <c r="CF167" s="3"/>
      <c r="CG167" s="3"/>
    </row>
    <row r="168" spans="2:85" ht="15" customHeight="1">
      <c r="B168" s="7"/>
      <c r="G168" s="6"/>
      <c r="H168" s="6"/>
      <c r="I168" s="6"/>
      <c r="J168" s="6"/>
      <c r="K168" s="8"/>
      <c r="L168" s="6"/>
      <c r="M168" s="6"/>
      <c r="N168" s="6"/>
      <c r="O168" s="6"/>
      <c r="P168" s="6"/>
      <c r="Q168" s="6"/>
      <c r="R168" s="6"/>
      <c r="S168" s="6"/>
      <c r="T168" s="6"/>
      <c r="U168" s="6"/>
      <c r="V168" s="6"/>
      <c r="W168" s="6"/>
      <c r="X168" s="6"/>
      <c r="Y168" s="6"/>
      <c r="Z168" s="6"/>
      <c r="AA168" s="6"/>
      <c r="AD168" s="6"/>
      <c r="AE168" s="6"/>
      <c r="AF168" s="9"/>
      <c r="AI168" s="35"/>
      <c r="CF168" s="3"/>
      <c r="CG168" s="3"/>
    </row>
    <row r="169" spans="2:85" ht="15" customHeight="1">
      <c r="B169" s="250" t="s">
        <v>251</v>
      </c>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c r="AF169" s="252"/>
      <c r="AI169" s="35"/>
      <c r="CF169" s="3"/>
      <c r="CG169" s="3"/>
    </row>
    <row r="170" spans="2:85" ht="15" customHeight="1">
      <c r="B170" s="7"/>
      <c r="G170" s="6"/>
      <c r="H170" s="6"/>
      <c r="I170" s="6"/>
      <c r="J170" s="6"/>
      <c r="K170" s="8"/>
      <c r="L170" s="6"/>
      <c r="M170" s="6"/>
      <c r="N170" s="6"/>
      <c r="O170" s="6"/>
      <c r="P170" s="6"/>
      <c r="Q170" s="6"/>
      <c r="R170" s="6"/>
      <c r="S170" s="6"/>
      <c r="T170" s="6"/>
      <c r="U170" s="6"/>
      <c r="V170" s="6"/>
      <c r="W170" s="6"/>
      <c r="X170" s="6"/>
      <c r="Y170" s="6"/>
      <c r="Z170" s="6"/>
      <c r="AA170" s="6"/>
      <c r="AD170" s="6"/>
      <c r="AE170" s="6"/>
      <c r="AF170" s="9"/>
      <c r="AI170" s="35"/>
      <c r="CF170" s="3"/>
      <c r="CG170" s="3"/>
    </row>
    <row r="171" spans="2:85" ht="15" customHeight="1">
      <c r="B171" s="7"/>
      <c r="C171" s="249" t="s">
        <v>185</v>
      </c>
      <c r="D171" s="249"/>
      <c r="E171" s="249"/>
      <c r="F171" s="249"/>
      <c r="G171" s="249"/>
      <c r="H171" s="249"/>
      <c r="I171" s="249"/>
      <c r="J171" s="249"/>
      <c r="K171" s="249"/>
      <c r="L171" s="249"/>
      <c r="M171" s="249"/>
      <c r="N171" s="249"/>
      <c r="O171" s="249"/>
      <c r="P171" s="249"/>
      <c r="Q171" s="6"/>
      <c r="R171" s="235" t="s">
        <v>184</v>
      </c>
      <c r="S171" s="235"/>
      <c r="T171" s="235"/>
      <c r="U171" s="235"/>
      <c r="V171" s="235"/>
      <c r="W171" s="235"/>
      <c r="X171" s="235"/>
      <c r="Y171" s="235"/>
      <c r="Z171" s="235"/>
      <c r="AA171" s="235"/>
      <c r="AB171" s="235"/>
      <c r="AC171" s="235"/>
      <c r="AD171" s="235"/>
      <c r="AE171" s="235"/>
      <c r="AF171" s="9"/>
      <c r="AI171" s="35"/>
      <c r="CF171" s="3"/>
      <c r="CG171" s="3"/>
    </row>
    <row r="172" spans="2:85" ht="15" customHeight="1">
      <c r="B172" s="7"/>
      <c r="C172" s="51"/>
      <c r="D172" s="51"/>
      <c r="E172" s="51"/>
      <c r="F172" s="51"/>
      <c r="G172" s="51"/>
      <c r="H172" s="70"/>
      <c r="I172" s="51"/>
      <c r="J172" s="51"/>
      <c r="K172" s="51"/>
      <c r="L172" s="51"/>
      <c r="M172" s="51"/>
      <c r="N172" s="51"/>
      <c r="O172" s="51"/>
      <c r="P172" s="51"/>
      <c r="Q172" s="4"/>
      <c r="R172" s="57"/>
      <c r="S172" s="57"/>
      <c r="T172" s="57"/>
      <c r="U172" s="57"/>
      <c r="V172" s="57"/>
      <c r="W172" s="57"/>
      <c r="X172" s="57"/>
      <c r="Y172" s="57"/>
      <c r="Z172" s="57"/>
      <c r="AA172" s="57"/>
      <c r="AB172" s="57"/>
      <c r="AC172" s="57"/>
      <c r="AD172" s="57"/>
      <c r="AE172" s="57"/>
      <c r="AF172" s="9"/>
      <c r="AI172" s="35"/>
      <c r="CF172" s="3"/>
      <c r="CG172" s="3"/>
    </row>
    <row r="173" spans="2:85" ht="15" customHeight="1">
      <c r="B173" s="7"/>
      <c r="C173" s="53"/>
      <c r="D173" s="53" t="s">
        <v>294</v>
      </c>
      <c r="E173" s="53"/>
      <c r="F173" s="54"/>
      <c r="G173" s="55"/>
      <c r="H173" s="68" t="str">
        <f>IF(H153&lt;&gt;"",H153,"")</f>
        <v/>
      </c>
      <c r="I173" s="53"/>
      <c r="J173" s="52"/>
      <c r="K173" s="52" t="s">
        <v>4</v>
      </c>
      <c r="L173" s="52"/>
      <c r="M173" s="53"/>
      <c r="N173" s="69" t="str">
        <f>Z173</f>
        <v/>
      </c>
      <c r="O173" s="53"/>
      <c r="P173" s="53"/>
      <c r="Q173" s="6"/>
      <c r="R173" s="57"/>
      <c r="S173" s="57"/>
      <c r="T173" s="66" t="str">
        <f>H173</f>
        <v/>
      </c>
      <c r="U173" s="57"/>
      <c r="V173" s="58"/>
      <c r="W173" s="58" t="s">
        <v>4</v>
      </c>
      <c r="X173" s="58"/>
      <c r="Y173" s="57"/>
      <c r="Z173" s="67" t="str">
        <f>IF(N153&lt;&gt;"",N153,"")</f>
        <v/>
      </c>
      <c r="AA173" s="57"/>
      <c r="AB173" s="57"/>
      <c r="AC173" s="57" t="str">
        <f>D173</f>
        <v>Round of 16 - Match 1</v>
      </c>
      <c r="AD173" s="57"/>
      <c r="AE173" s="59"/>
      <c r="AF173" s="9"/>
      <c r="AI173" s="35"/>
      <c r="CF173" s="3"/>
      <c r="CG173" s="3"/>
    </row>
    <row r="174" spans="2:85" ht="15" customHeight="1">
      <c r="B174" s="7"/>
      <c r="C174" s="53"/>
      <c r="D174" s="53" t="s">
        <v>1</v>
      </c>
      <c r="E174" s="53" t="s">
        <v>24</v>
      </c>
      <c r="F174" s="56"/>
      <c r="G174" s="53"/>
      <c r="H174" s="53"/>
      <c r="I174" s="53"/>
      <c r="J174" s="53"/>
      <c r="K174" s="52"/>
      <c r="L174" s="53"/>
      <c r="M174" s="53"/>
      <c r="N174" s="53"/>
      <c r="O174" s="53"/>
      <c r="P174" s="53"/>
      <c r="Q174" s="6"/>
      <c r="R174" s="57"/>
      <c r="S174" s="57"/>
      <c r="T174" s="57"/>
      <c r="U174" s="162" t="s">
        <v>223</v>
      </c>
      <c r="V174" s="58"/>
      <c r="W174" s="162" t="s">
        <v>4</v>
      </c>
      <c r="X174" s="58"/>
      <c r="Y174" s="57"/>
      <c r="Z174" s="57"/>
      <c r="AA174" s="57"/>
      <c r="AB174" s="57"/>
      <c r="AC174" s="57" t="s">
        <v>1</v>
      </c>
      <c r="AD174" s="57" t="s">
        <v>24</v>
      </c>
      <c r="AE174" s="60"/>
      <c r="AF174" s="9"/>
      <c r="AI174" s="35"/>
      <c r="CF174" s="3"/>
      <c r="CG174" s="3"/>
    </row>
    <row r="175" spans="2:85" ht="15" customHeight="1">
      <c r="B175" s="7"/>
      <c r="C175" s="53"/>
      <c r="D175" s="53" t="s">
        <v>2</v>
      </c>
      <c r="E175" s="53" t="s">
        <v>24</v>
      </c>
      <c r="F175" s="53"/>
      <c r="G175" s="53"/>
      <c r="H175" s="160"/>
      <c r="I175" s="160"/>
      <c r="J175" s="160"/>
      <c r="K175" s="161"/>
      <c r="L175" s="160"/>
      <c r="M175" s="160"/>
      <c r="N175" s="160"/>
      <c r="O175" s="160"/>
      <c r="P175" s="160"/>
      <c r="R175" s="158"/>
      <c r="S175" s="158"/>
      <c r="T175" s="158"/>
      <c r="U175" s="163" t="s">
        <v>222</v>
      </c>
      <c r="V175" s="159"/>
      <c r="W175" s="162" t="s">
        <v>4</v>
      </c>
      <c r="X175" s="159"/>
      <c r="Y175" s="158"/>
      <c r="Z175" s="158"/>
      <c r="AA175" s="57"/>
      <c r="AB175" s="57"/>
      <c r="AC175" s="57" t="s">
        <v>2</v>
      </c>
      <c r="AD175" s="57" t="s">
        <v>24</v>
      </c>
      <c r="AE175" s="58"/>
      <c r="AF175" s="9"/>
      <c r="AI175" s="35"/>
      <c r="CF175" s="3"/>
      <c r="CG175" s="3"/>
    </row>
    <row r="176" spans="2:85" ht="15" customHeight="1">
      <c r="B176" s="7"/>
      <c r="C176" s="53"/>
      <c r="D176" s="53" t="s">
        <v>187</v>
      </c>
      <c r="E176" s="53" t="s">
        <v>24</v>
      </c>
      <c r="F176" s="52" t="str">
        <f>IF(H173&lt;&gt;"",VLOOKUP(H173,'Team Setup'!$B$5:$C$63,2,FALSE),"")</f>
        <v/>
      </c>
      <c r="G176" s="53"/>
      <c r="H176" s="160"/>
      <c r="I176" s="160"/>
      <c r="J176" s="160"/>
      <c r="K176" s="161"/>
      <c r="L176" s="160"/>
      <c r="M176" s="160"/>
      <c r="N176" s="160"/>
      <c r="O176" s="160"/>
      <c r="P176" s="160"/>
      <c r="R176" s="158"/>
      <c r="S176" s="158"/>
      <c r="T176" s="158"/>
      <c r="U176" s="158"/>
      <c r="V176" s="158"/>
      <c r="W176" s="158"/>
      <c r="X176" s="158"/>
      <c r="Y176" s="158"/>
      <c r="Z176" s="158"/>
      <c r="AA176" s="57"/>
      <c r="AB176" s="57"/>
      <c r="AC176" s="57" t="s">
        <v>187</v>
      </c>
      <c r="AD176" s="57" t="s">
        <v>24</v>
      </c>
      <c r="AE176" s="58" t="str">
        <f>IF(Z173&lt;&gt;"",VLOOKUP(Z173,'Team Setup'!$B$5:$C$63,2,FALSE),"")</f>
        <v/>
      </c>
      <c r="AF176" s="9"/>
      <c r="AI176" s="35"/>
      <c r="CF176" s="3"/>
      <c r="CG176" s="3"/>
    </row>
    <row r="177" spans="2:85" ht="15" customHeight="1">
      <c r="B177" s="7"/>
      <c r="C177" s="53"/>
      <c r="D177" s="53"/>
      <c r="E177" s="53"/>
      <c r="F177" s="52" t="str">
        <f>IF(H173&lt;&gt;"",VLOOKUP(H173,'Team Setup'!$B$5:$D$63,3,FALSE),"")</f>
        <v/>
      </c>
      <c r="G177" s="53"/>
      <c r="H177" s="17"/>
      <c r="I177" s="17"/>
      <c r="J177" s="17"/>
      <c r="K177" s="156"/>
      <c r="L177" s="17"/>
      <c r="M177" s="17"/>
      <c r="N177" s="17" t="s">
        <v>186</v>
      </c>
      <c r="O177" s="17" t="s">
        <v>24</v>
      </c>
      <c r="P177" s="19" t="str">
        <f>IF(AND(P178&lt;&gt;"",R178&lt;&gt;""),IF(AND(V175&lt;&gt;"",X175&lt;&gt;"",V175&gt;X175),N178&amp;" win on Penalty Kick",IF(AND(V175&lt;&gt;"",X175&lt;&gt;"",V175&lt;X175),T178&amp;" win on Penalty Kick",IF(P178&gt;R178,N178&amp;" win",IF(R178&gt;P178,T178&amp;" win",IF(AND(P178=R178,L173&gt;V173),T178&amp;" win on away goals",IF(AND(P178=R178,L173&lt;V173+V174),N178&amp;" win on away goals","")))))),"")</f>
        <v/>
      </c>
      <c r="Q177" s="19"/>
      <c r="R177" s="19"/>
      <c r="S177" s="17"/>
      <c r="T177" s="17"/>
      <c r="U177" s="17"/>
      <c r="V177" s="17"/>
      <c r="W177" s="17"/>
      <c r="X177" s="17"/>
      <c r="Y177" s="17"/>
      <c r="Z177" s="17"/>
      <c r="AA177" s="57"/>
      <c r="AB177" s="57"/>
      <c r="AC177" s="57"/>
      <c r="AD177" s="57"/>
      <c r="AE177" s="58" t="str">
        <f>IF(Z173&lt;&gt;"",VLOOKUP(Z173,'Team Setup'!$B$5:$D$63,3,FALSE),"")</f>
        <v/>
      </c>
      <c r="AF177" s="9"/>
      <c r="AI177" s="35"/>
      <c r="CF177" s="3"/>
      <c r="CG177" s="3"/>
    </row>
    <row r="178" spans="2:85" ht="15" customHeight="1">
      <c r="B178" s="7"/>
      <c r="C178" s="53"/>
      <c r="D178" s="53"/>
      <c r="E178" s="53"/>
      <c r="F178" s="53"/>
      <c r="G178" s="53"/>
      <c r="H178" s="6"/>
      <c r="I178" s="6"/>
      <c r="J178" s="157"/>
      <c r="K178" s="20"/>
      <c r="L178" s="21"/>
      <c r="M178" s="157"/>
      <c r="N178" s="22" t="str">
        <f>H173</f>
        <v/>
      </c>
      <c r="O178" s="4"/>
      <c r="P178" s="23" t="str">
        <f>IF(AND(L173&lt;&gt;"",V173&lt;&gt;"",X173&lt;&gt;"",J173&lt;&gt;""),J173+V173+V174,"")</f>
        <v/>
      </c>
      <c r="Q178" s="24" t="s">
        <v>4</v>
      </c>
      <c r="R178" s="23" t="str">
        <f>IF(AND(L173&lt;&gt;"",V173&lt;&gt;"",X173&lt;&gt;"",J173&lt;&gt;""),L173+X173+X174,"")</f>
        <v/>
      </c>
      <c r="S178" s="4"/>
      <c r="T178" s="4" t="str">
        <f>Z173</f>
        <v/>
      </c>
      <c r="U178" s="6"/>
      <c r="V178" s="6"/>
      <c r="W178" s="6"/>
      <c r="X178" s="6"/>
      <c r="Y178" s="6"/>
      <c r="Z178" s="6"/>
      <c r="AA178" s="57"/>
      <c r="AB178" s="57"/>
      <c r="AC178" s="57"/>
      <c r="AD178" s="57"/>
      <c r="AE178" s="57"/>
      <c r="AF178" s="9"/>
      <c r="AI178" s="35"/>
      <c r="CF178" s="3"/>
      <c r="CG178" s="3"/>
    </row>
    <row r="179" spans="2:85" ht="15" customHeight="1">
      <c r="B179" s="7"/>
      <c r="G179" s="6"/>
      <c r="H179" s="6"/>
      <c r="I179" s="6"/>
      <c r="J179" s="6"/>
      <c r="K179" s="8"/>
      <c r="L179" s="6"/>
      <c r="M179" s="6"/>
      <c r="N179" s="6"/>
      <c r="O179" s="6"/>
      <c r="P179" s="6"/>
      <c r="Q179" s="6"/>
      <c r="R179" s="6"/>
      <c r="S179" s="6"/>
      <c r="T179" s="6"/>
      <c r="U179" s="6"/>
      <c r="V179" s="6"/>
      <c r="W179" s="6"/>
      <c r="X179" s="6"/>
      <c r="Y179" s="6"/>
      <c r="Z179" s="6"/>
      <c r="AA179" s="6"/>
      <c r="AD179" s="6"/>
      <c r="AE179" s="6"/>
      <c r="AF179" s="9"/>
      <c r="AI179" s="35"/>
      <c r="CF179" s="3"/>
      <c r="CG179" s="3"/>
    </row>
    <row r="180" spans="2:85" ht="15" customHeight="1">
      <c r="B180" s="7"/>
      <c r="C180" s="234" t="s">
        <v>185</v>
      </c>
      <c r="D180" s="234"/>
      <c r="E180" s="234"/>
      <c r="F180" s="234"/>
      <c r="G180" s="234"/>
      <c r="H180" s="234"/>
      <c r="I180" s="234"/>
      <c r="J180" s="234"/>
      <c r="K180" s="234"/>
      <c r="L180" s="234"/>
      <c r="M180" s="234"/>
      <c r="N180" s="234"/>
      <c r="O180" s="234"/>
      <c r="P180" s="234"/>
      <c r="Q180" s="6"/>
      <c r="R180" s="235" t="s">
        <v>184</v>
      </c>
      <c r="S180" s="235"/>
      <c r="T180" s="235"/>
      <c r="U180" s="235"/>
      <c r="V180" s="235"/>
      <c r="W180" s="235"/>
      <c r="X180" s="235"/>
      <c r="Y180" s="235"/>
      <c r="Z180" s="235"/>
      <c r="AA180" s="235"/>
      <c r="AB180" s="235"/>
      <c r="AC180" s="235"/>
      <c r="AD180" s="235"/>
      <c r="AE180" s="235"/>
      <c r="AF180" s="9"/>
      <c r="AI180" s="35"/>
      <c r="CF180" s="3"/>
      <c r="CG180" s="3"/>
    </row>
    <row r="181" spans="2:85" ht="15" customHeight="1">
      <c r="B181" s="7"/>
      <c r="C181" s="51"/>
      <c r="D181" s="51"/>
      <c r="E181" s="51"/>
      <c r="F181" s="51"/>
      <c r="G181" s="51"/>
      <c r="H181" s="51"/>
      <c r="I181" s="51"/>
      <c r="J181" s="51"/>
      <c r="K181" s="51"/>
      <c r="L181" s="51"/>
      <c r="M181" s="51"/>
      <c r="N181" s="51"/>
      <c r="O181" s="51"/>
      <c r="P181" s="51"/>
      <c r="Q181" s="4"/>
      <c r="R181" s="57"/>
      <c r="S181" s="57"/>
      <c r="T181" s="57"/>
      <c r="U181" s="57"/>
      <c r="V181" s="57"/>
      <c r="W181" s="57"/>
      <c r="X181" s="57"/>
      <c r="Y181" s="57"/>
      <c r="Z181" s="57"/>
      <c r="AA181" s="57"/>
      <c r="AB181" s="57"/>
      <c r="AC181" s="57"/>
      <c r="AD181" s="57"/>
      <c r="AE181" s="57"/>
      <c r="AF181" s="9"/>
      <c r="AI181" s="35"/>
      <c r="CF181" s="3"/>
      <c r="CG181" s="3"/>
    </row>
    <row r="182" spans="2:85" ht="15" customHeight="1">
      <c r="B182" s="7"/>
      <c r="C182" s="53"/>
      <c r="D182" s="53" t="s">
        <v>295</v>
      </c>
      <c r="E182" s="53"/>
      <c r="F182" s="54"/>
      <c r="G182" s="55"/>
      <c r="H182" s="68" t="str">
        <f>IF(H154&lt;&gt;"",H154,"")</f>
        <v/>
      </c>
      <c r="I182" s="53"/>
      <c r="J182" s="52"/>
      <c r="K182" s="52" t="s">
        <v>4</v>
      </c>
      <c r="L182" s="52"/>
      <c r="M182" s="53"/>
      <c r="N182" s="69" t="str">
        <f>Z182</f>
        <v/>
      </c>
      <c r="O182" s="53"/>
      <c r="P182" s="53"/>
      <c r="Q182" s="6"/>
      <c r="R182" s="57"/>
      <c r="S182" s="57"/>
      <c r="T182" s="66" t="str">
        <f>H182</f>
        <v/>
      </c>
      <c r="U182" s="57"/>
      <c r="V182" s="58"/>
      <c r="W182" s="58" t="s">
        <v>4</v>
      </c>
      <c r="X182" s="58"/>
      <c r="Y182" s="57"/>
      <c r="Z182" s="67" t="str">
        <f>IF(N154&lt;&gt;"",N154,"")</f>
        <v/>
      </c>
      <c r="AA182" s="57"/>
      <c r="AB182" s="57"/>
      <c r="AC182" s="57" t="str">
        <f>D182</f>
        <v>Round of 16 - Match 2</v>
      </c>
      <c r="AD182" s="57"/>
      <c r="AE182" s="59"/>
      <c r="AF182" s="9"/>
      <c r="AI182" s="35"/>
      <c r="CF182" s="3"/>
      <c r="CG182" s="3"/>
    </row>
    <row r="183" spans="2:85" ht="15" customHeight="1">
      <c r="B183" s="7"/>
      <c r="C183" s="53"/>
      <c r="D183" s="53" t="s">
        <v>1</v>
      </c>
      <c r="E183" s="53" t="s">
        <v>24</v>
      </c>
      <c r="F183" s="56"/>
      <c r="G183" s="53"/>
      <c r="H183" s="53"/>
      <c r="I183" s="53"/>
      <c r="J183" s="53"/>
      <c r="K183" s="52"/>
      <c r="L183" s="53"/>
      <c r="M183" s="53"/>
      <c r="N183" s="53"/>
      <c r="O183" s="53"/>
      <c r="P183" s="53"/>
      <c r="Q183" s="6"/>
      <c r="R183" s="57"/>
      <c r="S183" s="57"/>
      <c r="T183" s="57"/>
      <c r="U183" s="162" t="s">
        <v>223</v>
      </c>
      <c r="V183" s="58"/>
      <c r="W183" s="162" t="s">
        <v>4</v>
      </c>
      <c r="X183" s="58"/>
      <c r="Y183" s="57"/>
      <c r="Z183" s="57"/>
      <c r="AA183" s="57"/>
      <c r="AB183" s="57"/>
      <c r="AC183" s="57" t="s">
        <v>1</v>
      </c>
      <c r="AD183" s="57" t="s">
        <v>24</v>
      </c>
      <c r="AE183" s="60"/>
      <c r="AF183" s="9"/>
      <c r="AI183" s="35"/>
      <c r="CF183" s="3"/>
      <c r="CG183" s="3"/>
    </row>
    <row r="184" spans="2:85" ht="15" customHeight="1">
      <c r="B184" s="7"/>
      <c r="C184" s="53"/>
      <c r="D184" s="53" t="s">
        <v>2</v>
      </c>
      <c r="E184" s="53" t="s">
        <v>24</v>
      </c>
      <c r="F184" s="53"/>
      <c r="G184" s="53"/>
      <c r="H184" s="160"/>
      <c r="I184" s="160"/>
      <c r="J184" s="160"/>
      <c r="K184" s="161"/>
      <c r="L184" s="160"/>
      <c r="M184" s="160"/>
      <c r="N184" s="160"/>
      <c r="O184" s="160"/>
      <c r="P184" s="160"/>
      <c r="R184" s="158"/>
      <c r="S184" s="158"/>
      <c r="T184" s="158"/>
      <c r="U184" s="163" t="s">
        <v>222</v>
      </c>
      <c r="V184" s="159"/>
      <c r="W184" s="162" t="s">
        <v>4</v>
      </c>
      <c r="X184" s="159"/>
      <c r="Y184" s="158"/>
      <c r="Z184" s="158"/>
      <c r="AA184" s="57"/>
      <c r="AB184" s="57"/>
      <c r="AC184" s="57" t="s">
        <v>2</v>
      </c>
      <c r="AD184" s="57" t="s">
        <v>24</v>
      </c>
      <c r="AE184" s="58"/>
      <c r="AF184" s="9"/>
      <c r="AI184" s="35"/>
      <c r="CF184" s="3"/>
      <c r="CG184" s="3"/>
    </row>
    <row r="185" spans="2:85" ht="15" customHeight="1">
      <c r="B185" s="7"/>
      <c r="C185" s="53"/>
      <c r="D185" s="53" t="s">
        <v>187</v>
      </c>
      <c r="E185" s="53" t="s">
        <v>24</v>
      </c>
      <c r="F185" s="52" t="str">
        <f>IF(H182&lt;&gt;"",VLOOKUP(H182,'Team Setup'!$B$5:$C$63,2,FALSE),"")</f>
        <v/>
      </c>
      <c r="G185" s="53"/>
      <c r="H185" s="160"/>
      <c r="I185" s="160"/>
      <c r="J185" s="160"/>
      <c r="K185" s="161"/>
      <c r="L185" s="160"/>
      <c r="M185" s="160"/>
      <c r="N185" s="160"/>
      <c r="O185" s="160"/>
      <c r="P185" s="160"/>
      <c r="R185" s="158"/>
      <c r="S185" s="158"/>
      <c r="T185" s="158"/>
      <c r="U185" s="158"/>
      <c r="V185" s="158"/>
      <c r="W185" s="158"/>
      <c r="X185" s="158"/>
      <c r="Y185" s="158"/>
      <c r="Z185" s="158"/>
      <c r="AA185" s="57"/>
      <c r="AB185" s="57"/>
      <c r="AC185" s="57" t="s">
        <v>187</v>
      </c>
      <c r="AD185" s="57" t="s">
        <v>24</v>
      </c>
      <c r="AE185" s="58" t="str">
        <f>IF(Z182&lt;&gt;"",VLOOKUP(Z182,'Team Setup'!$B$5:$C$63,2,FALSE),"")</f>
        <v/>
      </c>
      <c r="AF185" s="9"/>
      <c r="AI185" s="35"/>
      <c r="CF185" s="3"/>
      <c r="CG185" s="3"/>
    </row>
    <row r="186" spans="2:85" ht="15" customHeight="1">
      <c r="B186" s="7"/>
      <c r="C186" s="53"/>
      <c r="D186" s="53"/>
      <c r="E186" s="53"/>
      <c r="F186" s="52" t="str">
        <f>IF(H182&lt;&gt;"",VLOOKUP(H182,'Team Setup'!$B$5:$D$63,3,FALSE),"")</f>
        <v/>
      </c>
      <c r="G186" s="53"/>
      <c r="H186" s="17"/>
      <c r="I186" s="17"/>
      <c r="J186" s="17"/>
      <c r="K186" s="156"/>
      <c r="L186" s="17"/>
      <c r="M186" s="17"/>
      <c r="N186" s="17" t="s">
        <v>186</v>
      </c>
      <c r="O186" s="17" t="s">
        <v>24</v>
      </c>
      <c r="P186" s="19" t="str">
        <f>IF(AND(P187&lt;&gt;"",R187&lt;&gt;""),IF(AND(V184&lt;&gt;"",X184&lt;&gt;"",V184&gt;X184),N187&amp;" win on Penalty Kick",IF(AND(V184&lt;&gt;"",X184&lt;&gt;"",V184&lt;X184),T187&amp;" win on Penalty Kick",IF(P187&gt;R187,N187&amp;" win",IF(R187&gt;P187,T187&amp;" win",IF(AND(P187=R187,L182&gt;V182),T187&amp;" win on away goals",IF(AND(P187=R187,L182&lt;V182+V183),N187&amp;" win on away goals","")))))),"")</f>
        <v/>
      </c>
      <c r="Q186" s="19"/>
      <c r="R186" s="19"/>
      <c r="S186" s="17"/>
      <c r="T186" s="17"/>
      <c r="U186" s="17"/>
      <c r="V186" s="17"/>
      <c r="W186" s="17"/>
      <c r="X186" s="17"/>
      <c r="Y186" s="17"/>
      <c r="Z186" s="17"/>
      <c r="AA186" s="57"/>
      <c r="AB186" s="57"/>
      <c r="AC186" s="57"/>
      <c r="AD186" s="57"/>
      <c r="AE186" s="58" t="str">
        <f>IF(Z182&lt;&gt;"",VLOOKUP(Z182,'Team Setup'!$B$5:$D$63,3,FALSE),"")</f>
        <v/>
      </c>
      <c r="AF186" s="9"/>
      <c r="AI186" s="35"/>
      <c r="CF186" s="3"/>
      <c r="CG186" s="3"/>
    </row>
    <row r="187" spans="2:85" ht="15" customHeight="1">
      <c r="B187" s="7"/>
      <c r="C187" s="53"/>
      <c r="D187" s="53"/>
      <c r="E187" s="53"/>
      <c r="F187" s="53"/>
      <c r="G187" s="53"/>
      <c r="H187" s="6"/>
      <c r="I187" s="6"/>
      <c r="J187" s="157"/>
      <c r="K187" s="20"/>
      <c r="L187" s="21"/>
      <c r="M187" s="157"/>
      <c r="N187" s="22" t="str">
        <f>H182</f>
        <v/>
      </c>
      <c r="O187" s="4"/>
      <c r="P187" s="23" t="str">
        <f>IF(AND(L182&lt;&gt;"",V182&lt;&gt;"",X182&lt;&gt;"",J182&lt;&gt;""),J182+V182+V183,"")</f>
        <v/>
      </c>
      <c r="Q187" s="24" t="s">
        <v>4</v>
      </c>
      <c r="R187" s="23" t="str">
        <f>IF(AND(L182&lt;&gt;"",V182&lt;&gt;"",X182&lt;&gt;"",J182&lt;&gt;""),L182+X182+X183,"")</f>
        <v/>
      </c>
      <c r="S187" s="4"/>
      <c r="T187" s="4" t="str">
        <f>Z182</f>
        <v/>
      </c>
      <c r="U187" s="6"/>
      <c r="V187" s="6"/>
      <c r="W187" s="6"/>
      <c r="X187" s="6"/>
      <c r="Y187" s="6"/>
      <c r="Z187" s="6"/>
      <c r="AA187" s="57"/>
      <c r="AB187" s="57"/>
      <c r="AC187" s="57"/>
      <c r="AD187" s="57"/>
      <c r="AE187" s="57"/>
      <c r="AF187" s="9"/>
      <c r="AI187" s="35"/>
      <c r="CF187" s="3"/>
      <c r="CG187" s="3"/>
    </row>
    <row r="188" spans="2:85" ht="15" customHeight="1">
      <c r="B188" s="7"/>
      <c r="G188" s="6"/>
      <c r="H188" s="6"/>
      <c r="I188" s="6"/>
      <c r="J188" s="6"/>
      <c r="K188" s="8"/>
      <c r="L188" s="6"/>
      <c r="M188" s="6"/>
      <c r="N188" s="6"/>
      <c r="O188" s="6"/>
      <c r="P188" s="6"/>
      <c r="Q188" s="6"/>
      <c r="R188" s="6"/>
      <c r="S188" s="6"/>
      <c r="T188" s="6"/>
      <c r="U188" s="6"/>
      <c r="V188" s="6"/>
      <c r="W188" s="6"/>
      <c r="X188" s="6"/>
      <c r="Y188" s="6"/>
      <c r="Z188" s="6"/>
      <c r="AA188" s="6"/>
      <c r="AD188" s="6"/>
      <c r="AE188" s="6"/>
      <c r="AF188" s="9"/>
      <c r="AI188" s="35"/>
      <c r="CF188" s="3"/>
      <c r="CG188" s="3"/>
    </row>
    <row r="189" spans="2:85" ht="15" customHeight="1">
      <c r="B189" s="7"/>
      <c r="C189" s="234" t="s">
        <v>185</v>
      </c>
      <c r="D189" s="234"/>
      <c r="E189" s="234"/>
      <c r="F189" s="234"/>
      <c r="G189" s="234"/>
      <c r="H189" s="234"/>
      <c r="I189" s="234"/>
      <c r="J189" s="234"/>
      <c r="K189" s="234"/>
      <c r="L189" s="234"/>
      <c r="M189" s="234"/>
      <c r="N189" s="234"/>
      <c r="O189" s="234"/>
      <c r="P189" s="234"/>
      <c r="Q189" s="6"/>
      <c r="R189" s="235" t="s">
        <v>184</v>
      </c>
      <c r="S189" s="235"/>
      <c r="T189" s="235"/>
      <c r="U189" s="235"/>
      <c r="V189" s="235"/>
      <c r="W189" s="235"/>
      <c r="X189" s="235"/>
      <c r="Y189" s="235"/>
      <c r="Z189" s="235"/>
      <c r="AA189" s="235"/>
      <c r="AB189" s="235"/>
      <c r="AC189" s="235"/>
      <c r="AD189" s="235"/>
      <c r="AE189" s="235"/>
      <c r="AF189" s="9"/>
      <c r="AI189" s="35"/>
      <c r="CF189" s="3"/>
      <c r="CG189" s="3"/>
    </row>
    <row r="190" spans="2:85" ht="15" customHeight="1">
      <c r="B190" s="7"/>
      <c r="C190" s="51"/>
      <c r="D190" s="51"/>
      <c r="E190" s="51"/>
      <c r="F190" s="51"/>
      <c r="G190" s="51"/>
      <c r="H190" s="51"/>
      <c r="I190" s="51"/>
      <c r="J190" s="51"/>
      <c r="K190" s="51"/>
      <c r="L190" s="51"/>
      <c r="M190" s="51"/>
      <c r="N190" s="51"/>
      <c r="O190" s="51"/>
      <c r="P190" s="51"/>
      <c r="Q190" s="4"/>
      <c r="R190" s="57"/>
      <c r="S190" s="57"/>
      <c r="T190" s="57"/>
      <c r="U190" s="57"/>
      <c r="V190" s="57"/>
      <c r="W190" s="57"/>
      <c r="X190" s="57"/>
      <c r="Y190" s="57"/>
      <c r="Z190" s="57"/>
      <c r="AA190" s="57"/>
      <c r="AB190" s="57"/>
      <c r="AC190" s="57"/>
      <c r="AD190" s="57"/>
      <c r="AE190" s="57"/>
      <c r="AF190" s="9"/>
      <c r="AI190" s="35"/>
      <c r="CF190" s="3"/>
      <c r="CG190" s="3"/>
    </row>
    <row r="191" spans="2:85" ht="15" customHeight="1">
      <c r="B191" s="7"/>
      <c r="C191" s="53"/>
      <c r="D191" s="53" t="s">
        <v>296</v>
      </c>
      <c r="E191" s="53"/>
      <c r="F191" s="54"/>
      <c r="G191" s="55"/>
      <c r="H191" s="68" t="str">
        <f>IF(H155&lt;&gt;"",H155,"")</f>
        <v/>
      </c>
      <c r="I191" s="53"/>
      <c r="J191" s="52"/>
      <c r="K191" s="52" t="s">
        <v>4</v>
      </c>
      <c r="L191" s="52"/>
      <c r="M191" s="53"/>
      <c r="N191" s="69" t="str">
        <f>Z191</f>
        <v/>
      </c>
      <c r="O191" s="53"/>
      <c r="P191" s="53"/>
      <c r="Q191" s="6"/>
      <c r="R191" s="57"/>
      <c r="S191" s="57"/>
      <c r="T191" s="66" t="str">
        <f>H191</f>
        <v/>
      </c>
      <c r="U191" s="57"/>
      <c r="V191" s="58"/>
      <c r="W191" s="58" t="s">
        <v>4</v>
      </c>
      <c r="X191" s="58"/>
      <c r="Y191" s="57"/>
      <c r="Z191" s="67" t="str">
        <f>IF(N155&lt;&gt;"",N155,"")</f>
        <v/>
      </c>
      <c r="AA191" s="57"/>
      <c r="AB191" s="57"/>
      <c r="AC191" s="57" t="str">
        <f>D191</f>
        <v>Round of 16 - Match 3</v>
      </c>
      <c r="AD191" s="57"/>
      <c r="AE191" s="59"/>
      <c r="AF191" s="9"/>
      <c r="AI191" s="35"/>
      <c r="CF191" s="3"/>
      <c r="CG191" s="3"/>
    </row>
    <row r="192" spans="2:85" ht="15" customHeight="1">
      <c r="B192" s="7"/>
      <c r="C192" s="53"/>
      <c r="D192" s="53" t="s">
        <v>1</v>
      </c>
      <c r="E192" s="53" t="s">
        <v>24</v>
      </c>
      <c r="F192" s="56"/>
      <c r="G192" s="53"/>
      <c r="H192" s="53"/>
      <c r="I192" s="53"/>
      <c r="J192" s="53"/>
      <c r="K192" s="52"/>
      <c r="L192" s="53"/>
      <c r="M192" s="53"/>
      <c r="N192" s="53"/>
      <c r="O192" s="53"/>
      <c r="P192" s="53"/>
      <c r="Q192" s="6"/>
      <c r="R192" s="57"/>
      <c r="S192" s="57"/>
      <c r="T192" s="57"/>
      <c r="U192" s="162" t="s">
        <v>223</v>
      </c>
      <c r="V192" s="58"/>
      <c r="W192" s="162" t="s">
        <v>4</v>
      </c>
      <c r="X192" s="58"/>
      <c r="Y192" s="57"/>
      <c r="Z192" s="57"/>
      <c r="AA192" s="57"/>
      <c r="AB192" s="57"/>
      <c r="AC192" s="57" t="s">
        <v>1</v>
      </c>
      <c r="AD192" s="57" t="s">
        <v>24</v>
      </c>
      <c r="AE192" s="60"/>
      <c r="AF192" s="9"/>
      <c r="AI192" s="35"/>
      <c r="CF192" s="3"/>
      <c r="CG192" s="3"/>
    </row>
    <row r="193" spans="2:85" ht="15" customHeight="1">
      <c r="B193" s="7"/>
      <c r="C193" s="53"/>
      <c r="D193" s="53" t="s">
        <v>2</v>
      </c>
      <c r="E193" s="53" t="s">
        <v>24</v>
      </c>
      <c r="F193" s="53"/>
      <c r="G193" s="53"/>
      <c r="H193" s="160"/>
      <c r="I193" s="160"/>
      <c r="J193" s="160"/>
      <c r="K193" s="161"/>
      <c r="L193" s="160"/>
      <c r="M193" s="160"/>
      <c r="N193" s="160"/>
      <c r="O193" s="160"/>
      <c r="P193" s="160"/>
      <c r="R193" s="158"/>
      <c r="S193" s="158"/>
      <c r="T193" s="158"/>
      <c r="U193" s="163" t="s">
        <v>222</v>
      </c>
      <c r="V193" s="159"/>
      <c r="W193" s="162" t="s">
        <v>4</v>
      </c>
      <c r="X193" s="159"/>
      <c r="Y193" s="158"/>
      <c r="Z193" s="158"/>
      <c r="AA193" s="57"/>
      <c r="AB193" s="57"/>
      <c r="AC193" s="57" t="s">
        <v>2</v>
      </c>
      <c r="AD193" s="57" t="s">
        <v>24</v>
      </c>
      <c r="AE193" s="58"/>
      <c r="AF193" s="9"/>
      <c r="AI193" s="35"/>
      <c r="CF193" s="3"/>
      <c r="CG193" s="3"/>
    </row>
    <row r="194" spans="2:85" ht="15" customHeight="1">
      <c r="B194" s="7"/>
      <c r="C194" s="53"/>
      <c r="D194" s="53" t="s">
        <v>187</v>
      </c>
      <c r="E194" s="53" t="s">
        <v>24</v>
      </c>
      <c r="F194" s="52" t="str">
        <f>IF(H191&lt;&gt;"",VLOOKUP(H191,'Team Setup'!$B$5:$C$63,2,FALSE),"")</f>
        <v/>
      </c>
      <c r="G194" s="53"/>
      <c r="H194" s="160"/>
      <c r="I194" s="160"/>
      <c r="J194" s="160"/>
      <c r="K194" s="161"/>
      <c r="L194" s="160"/>
      <c r="M194" s="160"/>
      <c r="N194" s="160"/>
      <c r="O194" s="160"/>
      <c r="P194" s="160"/>
      <c r="R194" s="158"/>
      <c r="S194" s="158"/>
      <c r="T194" s="158"/>
      <c r="U194" s="158"/>
      <c r="V194" s="158"/>
      <c r="W194" s="158"/>
      <c r="X194" s="158"/>
      <c r="Y194" s="158"/>
      <c r="Z194" s="158"/>
      <c r="AA194" s="57"/>
      <c r="AB194" s="57"/>
      <c r="AC194" s="57" t="s">
        <v>187</v>
      </c>
      <c r="AD194" s="57" t="s">
        <v>24</v>
      </c>
      <c r="AE194" s="58" t="str">
        <f>IF(Z191&lt;&gt;"",VLOOKUP(Z191,'Team Setup'!$B$5:$C$63,2,FALSE),"")</f>
        <v/>
      </c>
      <c r="AF194" s="9"/>
      <c r="AI194" s="35"/>
      <c r="CF194" s="3"/>
      <c r="CG194" s="3"/>
    </row>
    <row r="195" spans="2:85" ht="15" customHeight="1">
      <c r="B195" s="7"/>
      <c r="C195" s="53"/>
      <c r="D195" s="53"/>
      <c r="E195" s="53"/>
      <c r="F195" s="52" t="str">
        <f>IF(H191&lt;&gt;"",VLOOKUP(H191,'Team Setup'!$B$5:$D$63,3,FALSE),"")</f>
        <v/>
      </c>
      <c r="G195" s="53"/>
      <c r="H195" s="17"/>
      <c r="I195" s="17"/>
      <c r="J195" s="17"/>
      <c r="K195" s="156"/>
      <c r="L195" s="17"/>
      <c r="M195" s="17"/>
      <c r="N195" s="17" t="s">
        <v>186</v>
      </c>
      <c r="O195" s="17" t="s">
        <v>24</v>
      </c>
      <c r="P195" s="19" t="str">
        <f>IF(AND(P196&lt;&gt;"",R196&lt;&gt;""),IF(AND(V193&lt;&gt;"",X193&lt;&gt;"",V193&gt;X193),N196&amp;" win on Penalty Kick",IF(AND(V193&lt;&gt;"",X193&lt;&gt;"",V193&lt;X193),T196&amp;" win on Penalty Kick",IF(P196&gt;R196,N196&amp;" win",IF(R196&gt;P196,T196&amp;" win",IF(AND(P196=R196,L191&gt;V191),T196&amp;" win on away goals",IF(AND(P196=R196,L191&lt;V191+V192),N196&amp;" win on away goals","")))))),"")</f>
        <v/>
      </c>
      <c r="Q195" s="19"/>
      <c r="R195" s="19"/>
      <c r="S195" s="17"/>
      <c r="T195" s="17"/>
      <c r="U195" s="17"/>
      <c r="V195" s="17"/>
      <c r="W195" s="17"/>
      <c r="X195" s="17"/>
      <c r="Y195" s="17"/>
      <c r="Z195" s="17"/>
      <c r="AA195" s="57"/>
      <c r="AB195" s="57"/>
      <c r="AC195" s="57"/>
      <c r="AD195" s="57"/>
      <c r="AE195" s="58" t="str">
        <f>IF(Z191&lt;&gt;"",VLOOKUP(Z191,'Team Setup'!$B$5:$D$63,3,FALSE),"")</f>
        <v/>
      </c>
      <c r="AF195" s="9"/>
      <c r="AI195" s="35"/>
      <c r="CF195" s="3"/>
      <c r="CG195" s="3"/>
    </row>
    <row r="196" spans="2:85" ht="15" customHeight="1">
      <c r="B196" s="7"/>
      <c r="C196" s="53"/>
      <c r="D196" s="53"/>
      <c r="E196" s="53"/>
      <c r="F196" s="53"/>
      <c r="G196" s="53"/>
      <c r="H196" s="6"/>
      <c r="I196" s="6"/>
      <c r="J196" s="157"/>
      <c r="K196" s="20"/>
      <c r="L196" s="21"/>
      <c r="M196" s="157"/>
      <c r="N196" s="22" t="str">
        <f>H191</f>
        <v/>
      </c>
      <c r="O196" s="4"/>
      <c r="P196" s="23" t="str">
        <f>IF(AND(L191&lt;&gt;"",V191&lt;&gt;"",X191&lt;&gt;"",J191&lt;&gt;""),J191+V191+V192,"")</f>
        <v/>
      </c>
      <c r="Q196" s="24" t="s">
        <v>4</v>
      </c>
      <c r="R196" s="23" t="str">
        <f>IF(AND(L191&lt;&gt;"",V191&lt;&gt;"",X191&lt;&gt;"",J191&lt;&gt;""),L191+X191+X192,"")</f>
        <v/>
      </c>
      <c r="S196" s="4"/>
      <c r="T196" s="4" t="str">
        <f>Z191</f>
        <v/>
      </c>
      <c r="U196" s="6"/>
      <c r="V196" s="6"/>
      <c r="W196" s="6"/>
      <c r="X196" s="6"/>
      <c r="Y196" s="6"/>
      <c r="Z196" s="6"/>
      <c r="AA196" s="57"/>
      <c r="AB196" s="57"/>
      <c r="AC196" s="57"/>
      <c r="AD196" s="57"/>
      <c r="AE196" s="57"/>
      <c r="AF196" s="9"/>
      <c r="AI196" s="35"/>
      <c r="CF196" s="3"/>
      <c r="CG196" s="3"/>
    </row>
    <row r="197" spans="2:85" ht="15" customHeight="1">
      <c r="B197" s="7"/>
      <c r="G197" s="6"/>
      <c r="H197" s="6"/>
      <c r="I197" s="6"/>
      <c r="J197" s="6"/>
      <c r="K197" s="8"/>
      <c r="L197" s="6"/>
      <c r="M197" s="6"/>
      <c r="N197" s="6"/>
      <c r="O197" s="6"/>
      <c r="P197" s="6"/>
      <c r="Q197" s="6"/>
      <c r="R197" s="6"/>
      <c r="S197" s="6"/>
      <c r="T197" s="6"/>
      <c r="U197" s="6"/>
      <c r="V197" s="6"/>
      <c r="W197" s="6"/>
      <c r="X197" s="6"/>
      <c r="Y197" s="6"/>
      <c r="Z197" s="6"/>
      <c r="AA197" s="6"/>
      <c r="AD197" s="6"/>
      <c r="AE197" s="6"/>
      <c r="AF197" s="9"/>
      <c r="CF197" s="3"/>
      <c r="CG197" s="3"/>
    </row>
    <row r="198" spans="2:85" ht="15" customHeight="1">
      <c r="B198" s="7"/>
      <c r="C198" s="234" t="s">
        <v>185</v>
      </c>
      <c r="D198" s="234"/>
      <c r="E198" s="234"/>
      <c r="F198" s="234"/>
      <c r="G198" s="234"/>
      <c r="H198" s="234"/>
      <c r="I198" s="234"/>
      <c r="J198" s="234"/>
      <c r="K198" s="234"/>
      <c r="L198" s="234"/>
      <c r="M198" s="234"/>
      <c r="N198" s="234"/>
      <c r="O198" s="234"/>
      <c r="P198" s="234"/>
      <c r="Q198" s="6"/>
      <c r="R198" s="235" t="s">
        <v>184</v>
      </c>
      <c r="S198" s="235"/>
      <c r="T198" s="235"/>
      <c r="U198" s="235"/>
      <c r="V198" s="235"/>
      <c r="W198" s="235"/>
      <c r="X198" s="235"/>
      <c r="Y198" s="235"/>
      <c r="Z198" s="235"/>
      <c r="AA198" s="235"/>
      <c r="AB198" s="235"/>
      <c r="AC198" s="235"/>
      <c r="AD198" s="235"/>
      <c r="AE198" s="235"/>
      <c r="AF198" s="9"/>
      <c r="AI198" s="35"/>
      <c r="CF198" s="3"/>
      <c r="CG198" s="3"/>
    </row>
    <row r="199" spans="2:85" ht="15" customHeight="1">
      <c r="B199" s="7"/>
      <c r="C199" s="51"/>
      <c r="D199" s="51"/>
      <c r="E199" s="51"/>
      <c r="F199" s="51"/>
      <c r="G199" s="51"/>
      <c r="H199" s="51"/>
      <c r="I199" s="51"/>
      <c r="J199" s="51"/>
      <c r="K199" s="51"/>
      <c r="L199" s="51"/>
      <c r="M199" s="51"/>
      <c r="N199" s="51"/>
      <c r="O199" s="51"/>
      <c r="P199" s="51"/>
      <c r="Q199" s="4"/>
      <c r="R199" s="57"/>
      <c r="S199" s="57"/>
      <c r="T199" s="57"/>
      <c r="U199" s="57"/>
      <c r="V199" s="57"/>
      <c r="W199" s="57"/>
      <c r="X199" s="57"/>
      <c r="Y199" s="57"/>
      <c r="Z199" s="57"/>
      <c r="AA199" s="57"/>
      <c r="AB199" s="57"/>
      <c r="AC199" s="57"/>
      <c r="AD199" s="57"/>
      <c r="AE199" s="57"/>
      <c r="AF199" s="9"/>
      <c r="AI199" s="35"/>
      <c r="CF199" s="3"/>
      <c r="CG199" s="3"/>
    </row>
    <row r="200" spans="2:85" ht="15" customHeight="1">
      <c r="B200" s="7"/>
      <c r="C200" s="53"/>
      <c r="D200" s="53" t="s">
        <v>297</v>
      </c>
      <c r="E200" s="53"/>
      <c r="F200" s="54"/>
      <c r="G200" s="55"/>
      <c r="H200" s="68" t="str">
        <f>IF(H156&lt;&gt;"",H156,"")</f>
        <v/>
      </c>
      <c r="I200" s="53"/>
      <c r="J200" s="52"/>
      <c r="K200" s="52" t="s">
        <v>4</v>
      </c>
      <c r="L200" s="52"/>
      <c r="M200" s="53"/>
      <c r="N200" s="69" t="str">
        <f>Z200</f>
        <v/>
      </c>
      <c r="O200" s="53"/>
      <c r="P200" s="53"/>
      <c r="Q200" s="6"/>
      <c r="R200" s="57"/>
      <c r="S200" s="57"/>
      <c r="T200" s="66" t="str">
        <f>H200</f>
        <v/>
      </c>
      <c r="U200" s="57"/>
      <c r="V200" s="58"/>
      <c r="W200" s="58" t="s">
        <v>4</v>
      </c>
      <c r="X200" s="58"/>
      <c r="Y200" s="57"/>
      <c r="Z200" s="67" t="str">
        <f>IF(N156&lt;&gt;"",N156,"")</f>
        <v/>
      </c>
      <c r="AA200" s="57"/>
      <c r="AB200" s="57"/>
      <c r="AC200" s="57" t="str">
        <f>D200</f>
        <v>Round of 16 - Match 4</v>
      </c>
      <c r="AD200" s="57"/>
      <c r="AE200" s="59"/>
      <c r="AF200" s="9"/>
      <c r="AI200" s="35"/>
      <c r="CF200" s="3"/>
      <c r="CG200" s="3"/>
    </row>
    <row r="201" spans="2:85" ht="15" customHeight="1">
      <c r="B201" s="7"/>
      <c r="C201" s="53"/>
      <c r="D201" s="53" t="s">
        <v>1</v>
      </c>
      <c r="E201" s="53" t="s">
        <v>24</v>
      </c>
      <c r="F201" s="56"/>
      <c r="G201" s="53"/>
      <c r="H201" s="53"/>
      <c r="I201" s="53"/>
      <c r="J201" s="53"/>
      <c r="K201" s="52"/>
      <c r="L201" s="53"/>
      <c r="M201" s="53"/>
      <c r="N201" s="53"/>
      <c r="O201" s="53"/>
      <c r="P201" s="53"/>
      <c r="Q201" s="6"/>
      <c r="R201" s="57"/>
      <c r="S201" s="57"/>
      <c r="T201" s="57"/>
      <c r="U201" s="162" t="s">
        <v>223</v>
      </c>
      <c r="V201" s="58"/>
      <c r="W201" s="162" t="s">
        <v>4</v>
      </c>
      <c r="X201" s="58"/>
      <c r="Y201" s="57"/>
      <c r="Z201" s="57"/>
      <c r="AA201" s="57"/>
      <c r="AB201" s="57"/>
      <c r="AC201" s="57" t="s">
        <v>1</v>
      </c>
      <c r="AD201" s="57" t="s">
        <v>24</v>
      </c>
      <c r="AE201" s="60"/>
      <c r="AF201" s="9"/>
      <c r="AI201" s="35"/>
      <c r="CF201" s="3"/>
      <c r="CG201" s="3"/>
    </row>
    <row r="202" spans="2:85" ht="15" customHeight="1">
      <c r="B202" s="7"/>
      <c r="C202" s="53"/>
      <c r="D202" s="53" t="s">
        <v>2</v>
      </c>
      <c r="E202" s="53" t="s">
        <v>24</v>
      </c>
      <c r="F202" s="53"/>
      <c r="G202" s="53"/>
      <c r="H202" s="160"/>
      <c r="I202" s="160"/>
      <c r="J202" s="160"/>
      <c r="K202" s="161"/>
      <c r="L202" s="160"/>
      <c r="M202" s="160"/>
      <c r="N202" s="160"/>
      <c r="O202" s="160"/>
      <c r="P202" s="160"/>
      <c r="R202" s="158"/>
      <c r="S202" s="158"/>
      <c r="T202" s="158"/>
      <c r="U202" s="163" t="s">
        <v>222</v>
      </c>
      <c r="V202" s="159"/>
      <c r="W202" s="162" t="s">
        <v>4</v>
      </c>
      <c r="X202" s="159"/>
      <c r="Y202" s="158"/>
      <c r="Z202" s="158"/>
      <c r="AA202" s="57"/>
      <c r="AB202" s="57"/>
      <c r="AC202" s="57" t="s">
        <v>2</v>
      </c>
      <c r="AD202" s="57" t="s">
        <v>24</v>
      </c>
      <c r="AE202" s="58"/>
      <c r="AF202" s="9"/>
      <c r="AI202" s="35"/>
      <c r="CF202" s="3"/>
      <c r="CG202" s="3"/>
    </row>
    <row r="203" spans="2:85" ht="15" customHeight="1">
      <c r="B203" s="7"/>
      <c r="C203" s="53"/>
      <c r="D203" s="53" t="s">
        <v>187</v>
      </c>
      <c r="E203" s="53" t="s">
        <v>24</v>
      </c>
      <c r="F203" s="52" t="str">
        <f>IF(H200&lt;&gt;"",VLOOKUP(H200,'Team Setup'!$B$5:$C$63,2,FALSE),"")</f>
        <v/>
      </c>
      <c r="G203" s="53"/>
      <c r="H203" s="160"/>
      <c r="I203" s="160"/>
      <c r="J203" s="160"/>
      <c r="K203" s="161"/>
      <c r="L203" s="160"/>
      <c r="M203" s="160"/>
      <c r="N203" s="160"/>
      <c r="O203" s="160"/>
      <c r="P203" s="160"/>
      <c r="R203" s="158"/>
      <c r="S203" s="158"/>
      <c r="T203" s="158"/>
      <c r="U203" s="158"/>
      <c r="V203" s="158"/>
      <c r="W203" s="158"/>
      <c r="X203" s="158"/>
      <c r="Y203" s="158"/>
      <c r="Z203" s="158"/>
      <c r="AA203" s="57"/>
      <c r="AB203" s="57"/>
      <c r="AC203" s="57" t="s">
        <v>187</v>
      </c>
      <c r="AD203" s="57" t="s">
        <v>24</v>
      </c>
      <c r="AE203" s="58" t="str">
        <f>IF(Z200&lt;&gt;"",VLOOKUP(Z200,'Team Setup'!$B$5:$C$63,2,FALSE),"")</f>
        <v/>
      </c>
      <c r="AF203" s="9"/>
      <c r="AI203" s="35"/>
      <c r="CF203" s="3"/>
      <c r="CG203" s="3"/>
    </row>
    <row r="204" spans="2:85" ht="15" customHeight="1">
      <c r="B204" s="7"/>
      <c r="C204" s="53"/>
      <c r="D204" s="53"/>
      <c r="E204" s="53"/>
      <c r="F204" s="52" t="str">
        <f>IF(H200&lt;&gt;"",VLOOKUP(H200,'Team Setup'!$B$5:$D$63,3,FALSE),"")</f>
        <v/>
      </c>
      <c r="G204" s="53"/>
      <c r="H204" s="17"/>
      <c r="I204" s="17"/>
      <c r="J204" s="17"/>
      <c r="K204" s="156"/>
      <c r="L204" s="17"/>
      <c r="M204" s="17"/>
      <c r="N204" s="17" t="s">
        <v>186</v>
      </c>
      <c r="O204" s="17" t="s">
        <v>24</v>
      </c>
      <c r="P204" s="19" t="str">
        <f>IF(AND(P205&lt;&gt;"",R205&lt;&gt;""),IF(AND(V202&lt;&gt;"",X202&lt;&gt;"",V202&gt;X202),N205&amp;" win on Penalty Kick",IF(AND(V202&lt;&gt;"",X202&lt;&gt;"",V202&lt;X202),T205&amp;" win on Penalty Kick",IF(P205&gt;R205,N205&amp;" win",IF(R205&gt;P205,T205&amp;" win",IF(AND(P205=R205,L200&gt;V200),T205&amp;" win on away goals",IF(AND(P205=R205,L200&lt;V200+V201),N205&amp;" win on away goals","")))))),"")</f>
        <v/>
      </c>
      <c r="Q204" s="19"/>
      <c r="R204" s="19"/>
      <c r="S204" s="17"/>
      <c r="T204" s="17"/>
      <c r="U204" s="17"/>
      <c r="V204" s="17"/>
      <c r="W204" s="17"/>
      <c r="X204" s="17"/>
      <c r="Y204" s="17"/>
      <c r="Z204" s="17"/>
      <c r="AA204" s="57"/>
      <c r="AB204" s="57"/>
      <c r="AC204" s="57"/>
      <c r="AD204" s="57"/>
      <c r="AE204" s="58" t="str">
        <f>IF(Z200&lt;&gt;"",VLOOKUP(Z200,'Team Setup'!$B$5:$D$63,3,FALSE),"")</f>
        <v/>
      </c>
      <c r="AF204" s="9"/>
      <c r="AI204" s="35"/>
      <c r="CF204" s="37" t="s">
        <v>39</v>
      </c>
      <c r="CG204" s="37" t="s">
        <v>55</v>
      </c>
    </row>
    <row r="205" spans="2:85" ht="15" customHeight="1">
      <c r="B205" s="7"/>
      <c r="C205" s="53"/>
      <c r="D205" s="53"/>
      <c r="E205" s="53"/>
      <c r="F205" s="53"/>
      <c r="G205" s="53"/>
      <c r="H205" s="6"/>
      <c r="I205" s="6"/>
      <c r="J205" s="157"/>
      <c r="K205" s="20"/>
      <c r="L205" s="21"/>
      <c r="M205" s="157"/>
      <c r="N205" s="22" t="str">
        <f>H200</f>
        <v/>
      </c>
      <c r="O205" s="4"/>
      <c r="P205" s="23" t="str">
        <f>IF(AND(L200&lt;&gt;"",V200&lt;&gt;"",X200&lt;&gt;"",J200&lt;&gt;""),J200+V200+V201,"")</f>
        <v/>
      </c>
      <c r="Q205" s="24" t="s">
        <v>4</v>
      </c>
      <c r="R205" s="23" t="str">
        <f>IF(AND(L200&lt;&gt;"",V200&lt;&gt;"",X200&lt;&gt;"",J200&lt;&gt;""),L200+X200+X201,"")</f>
        <v/>
      </c>
      <c r="S205" s="4"/>
      <c r="T205" s="4" t="str">
        <f>Z200</f>
        <v/>
      </c>
      <c r="U205" s="6"/>
      <c r="V205" s="6"/>
      <c r="W205" s="6"/>
      <c r="X205" s="6"/>
      <c r="Y205" s="6"/>
      <c r="Z205" s="6"/>
      <c r="AA205" s="57"/>
      <c r="AB205" s="57"/>
      <c r="AC205" s="57"/>
      <c r="AD205" s="57"/>
      <c r="AE205" s="57"/>
      <c r="AF205" s="9"/>
      <c r="AI205" s="35"/>
      <c r="CF205" s="37" t="s">
        <v>48</v>
      </c>
      <c r="CG205" s="37" t="s">
        <v>56</v>
      </c>
    </row>
    <row r="206" spans="2:85" ht="15" customHeight="1">
      <c r="B206" s="7"/>
      <c r="G206" s="6"/>
      <c r="H206" s="6"/>
      <c r="I206" s="6"/>
      <c r="J206" s="6"/>
      <c r="K206" s="8"/>
      <c r="L206" s="6"/>
      <c r="M206" s="6"/>
      <c r="N206" s="6"/>
      <c r="O206" s="6"/>
      <c r="P206" s="6"/>
      <c r="Q206" s="6"/>
      <c r="R206" s="6"/>
      <c r="S206" s="6"/>
      <c r="T206" s="6"/>
      <c r="U206" s="6"/>
      <c r="V206" s="6"/>
      <c r="W206" s="6"/>
      <c r="X206" s="6"/>
      <c r="Y206" s="6"/>
      <c r="Z206" s="6"/>
      <c r="AA206" s="6"/>
      <c r="AD206" s="6"/>
      <c r="AE206" s="6"/>
      <c r="AF206" s="9"/>
      <c r="CF206" s="37" t="s">
        <v>40</v>
      </c>
      <c r="CG206" s="37" t="s">
        <v>58</v>
      </c>
    </row>
    <row r="207" spans="2:85" ht="15" customHeight="1">
      <c r="B207" s="7"/>
      <c r="C207" s="249" t="s">
        <v>185</v>
      </c>
      <c r="D207" s="249"/>
      <c r="E207" s="249"/>
      <c r="F207" s="249"/>
      <c r="G207" s="249"/>
      <c r="H207" s="249"/>
      <c r="I207" s="249"/>
      <c r="J207" s="249"/>
      <c r="K207" s="249"/>
      <c r="L207" s="249"/>
      <c r="M207" s="249"/>
      <c r="N207" s="249"/>
      <c r="O207" s="249"/>
      <c r="P207" s="249"/>
      <c r="Q207" s="6"/>
      <c r="R207" s="235" t="s">
        <v>184</v>
      </c>
      <c r="S207" s="235"/>
      <c r="T207" s="235"/>
      <c r="U207" s="235"/>
      <c r="V207" s="235"/>
      <c r="W207" s="235"/>
      <c r="X207" s="235"/>
      <c r="Y207" s="235"/>
      <c r="Z207" s="235"/>
      <c r="AA207" s="235"/>
      <c r="AB207" s="235"/>
      <c r="AC207" s="235"/>
      <c r="AD207" s="235"/>
      <c r="AE207" s="235"/>
      <c r="AF207" s="9"/>
      <c r="AI207" s="35"/>
      <c r="CF207" s="3"/>
      <c r="CG207" s="3"/>
    </row>
    <row r="208" spans="2:85" ht="15" customHeight="1">
      <c r="B208" s="7"/>
      <c r="C208" s="51"/>
      <c r="D208" s="51"/>
      <c r="E208" s="51"/>
      <c r="F208" s="51"/>
      <c r="G208" s="51"/>
      <c r="H208" s="70"/>
      <c r="I208" s="51"/>
      <c r="J208" s="51"/>
      <c r="K208" s="51"/>
      <c r="L208" s="51"/>
      <c r="M208" s="51"/>
      <c r="N208" s="51"/>
      <c r="O208" s="51"/>
      <c r="P208" s="51"/>
      <c r="Q208" s="4"/>
      <c r="R208" s="57"/>
      <c r="S208" s="57"/>
      <c r="T208" s="57"/>
      <c r="U208" s="57"/>
      <c r="V208" s="57"/>
      <c r="W208" s="57"/>
      <c r="X208" s="57"/>
      <c r="Y208" s="57"/>
      <c r="Z208" s="57"/>
      <c r="AA208" s="57"/>
      <c r="AB208" s="57"/>
      <c r="AC208" s="57"/>
      <c r="AD208" s="57"/>
      <c r="AE208" s="57"/>
      <c r="AF208" s="9"/>
      <c r="AI208" s="35"/>
      <c r="CF208" s="3"/>
      <c r="CG208" s="3"/>
    </row>
    <row r="209" spans="2:85" ht="15" customHeight="1">
      <c r="B209" s="7"/>
      <c r="C209" s="53"/>
      <c r="D209" s="53" t="s">
        <v>298</v>
      </c>
      <c r="E209" s="53"/>
      <c r="F209" s="54"/>
      <c r="G209" s="55"/>
      <c r="H209" s="68" t="str">
        <f>IF(H157&lt;&gt;"",H157,"")</f>
        <v/>
      </c>
      <c r="I209" s="53"/>
      <c r="J209" s="52"/>
      <c r="K209" s="52" t="s">
        <v>4</v>
      </c>
      <c r="L209" s="52"/>
      <c r="M209" s="53"/>
      <c r="N209" s="69" t="str">
        <f>Z209</f>
        <v/>
      </c>
      <c r="O209" s="53"/>
      <c r="P209" s="53"/>
      <c r="Q209" s="6"/>
      <c r="R209" s="57"/>
      <c r="S209" s="57"/>
      <c r="T209" s="66" t="str">
        <f>H209</f>
        <v/>
      </c>
      <c r="U209" s="57"/>
      <c r="V209" s="58"/>
      <c r="W209" s="58" t="s">
        <v>4</v>
      </c>
      <c r="X209" s="58"/>
      <c r="Y209" s="57"/>
      <c r="Z209" s="67" t="str">
        <f>IF(N157&lt;&gt;"",N157,"")</f>
        <v/>
      </c>
      <c r="AA209" s="57"/>
      <c r="AB209" s="57"/>
      <c r="AC209" s="57" t="str">
        <f>D209</f>
        <v>Round of 16 - Match 5</v>
      </c>
      <c r="AD209" s="57"/>
      <c r="AE209" s="59"/>
      <c r="AF209" s="9"/>
      <c r="AI209" s="35"/>
      <c r="CF209" s="3"/>
      <c r="CG209" s="3"/>
    </row>
    <row r="210" spans="2:85" ht="15" customHeight="1">
      <c r="B210" s="7"/>
      <c r="C210" s="53"/>
      <c r="D210" s="53" t="s">
        <v>1</v>
      </c>
      <c r="E210" s="53" t="s">
        <v>24</v>
      </c>
      <c r="F210" s="56"/>
      <c r="G210" s="53"/>
      <c r="H210" s="53"/>
      <c r="I210" s="53"/>
      <c r="J210" s="53"/>
      <c r="K210" s="52"/>
      <c r="L210" s="53"/>
      <c r="M210" s="53"/>
      <c r="N210" s="53"/>
      <c r="O210" s="53"/>
      <c r="P210" s="53"/>
      <c r="Q210" s="6"/>
      <c r="R210" s="57"/>
      <c r="S210" s="57"/>
      <c r="T210" s="57"/>
      <c r="U210" s="162" t="s">
        <v>223</v>
      </c>
      <c r="V210" s="58"/>
      <c r="W210" s="162" t="s">
        <v>4</v>
      </c>
      <c r="X210" s="58"/>
      <c r="Y210" s="57"/>
      <c r="Z210" s="57"/>
      <c r="AA210" s="57"/>
      <c r="AB210" s="57"/>
      <c r="AC210" s="57" t="s">
        <v>1</v>
      </c>
      <c r="AD210" s="57" t="s">
        <v>24</v>
      </c>
      <c r="AE210" s="60"/>
      <c r="AF210" s="9"/>
      <c r="AI210" s="35"/>
      <c r="CF210" s="3"/>
      <c r="CG210" s="3"/>
    </row>
    <row r="211" spans="2:85" ht="15" customHeight="1">
      <c r="B211" s="7"/>
      <c r="C211" s="53"/>
      <c r="D211" s="53" t="s">
        <v>2</v>
      </c>
      <c r="E211" s="53" t="s">
        <v>24</v>
      </c>
      <c r="F211" s="53"/>
      <c r="G211" s="53"/>
      <c r="H211" s="160"/>
      <c r="I211" s="160"/>
      <c r="J211" s="160"/>
      <c r="K211" s="161"/>
      <c r="L211" s="160"/>
      <c r="M211" s="160"/>
      <c r="N211" s="160"/>
      <c r="O211" s="160"/>
      <c r="P211" s="160"/>
      <c r="R211" s="158"/>
      <c r="S211" s="158"/>
      <c r="T211" s="158"/>
      <c r="U211" s="163" t="s">
        <v>222</v>
      </c>
      <c r="V211" s="159"/>
      <c r="W211" s="162" t="s">
        <v>4</v>
      </c>
      <c r="X211" s="159"/>
      <c r="Y211" s="158"/>
      <c r="Z211" s="158"/>
      <c r="AA211" s="57"/>
      <c r="AB211" s="57"/>
      <c r="AC211" s="57" t="s">
        <v>2</v>
      </c>
      <c r="AD211" s="57" t="s">
        <v>24</v>
      </c>
      <c r="AE211" s="58"/>
      <c r="AF211" s="9"/>
      <c r="AI211" s="35"/>
      <c r="CF211" s="3"/>
      <c r="CG211" s="3"/>
    </row>
    <row r="212" spans="2:85" ht="15" customHeight="1">
      <c r="B212" s="7"/>
      <c r="C212" s="53"/>
      <c r="D212" s="53" t="s">
        <v>187</v>
      </c>
      <c r="E212" s="53" t="s">
        <v>24</v>
      </c>
      <c r="F212" s="52" t="str">
        <f>IF(H209&lt;&gt;"",VLOOKUP(H209,'Team Setup'!$B$5:$C$63,2,FALSE),"")</f>
        <v/>
      </c>
      <c r="G212" s="53"/>
      <c r="H212" s="160"/>
      <c r="I212" s="160"/>
      <c r="J212" s="160"/>
      <c r="K212" s="161"/>
      <c r="L212" s="160"/>
      <c r="M212" s="160"/>
      <c r="N212" s="160"/>
      <c r="O212" s="160"/>
      <c r="P212" s="160"/>
      <c r="R212" s="158"/>
      <c r="S212" s="158"/>
      <c r="T212" s="158"/>
      <c r="U212" s="158"/>
      <c r="V212" s="158"/>
      <c r="W212" s="158"/>
      <c r="X212" s="158"/>
      <c r="Y212" s="158"/>
      <c r="Z212" s="158"/>
      <c r="AA212" s="57"/>
      <c r="AB212" s="57"/>
      <c r="AC212" s="57" t="s">
        <v>187</v>
      </c>
      <c r="AD212" s="57" t="s">
        <v>24</v>
      </c>
      <c r="AE212" s="58" t="str">
        <f>IF(Z209&lt;&gt;"",VLOOKUP(Z209,'Team Setup'!$B$5:$C$63,2,FALSE),"")</f>
        <v/>
      </c>
      <c r="AF212" s="9"/>
      <c r="AI212" s="35"/>
      <c r="CF212" s="3"/>
      <c r="CG212" s="3"/>
    </row>
    <row r="213" spans="2:85" ht="15" customHeight="1">
      <c r="B213" s="7"/>
      <c r="C213" s="53"/>
      <c r="D213" s="53"/>
      <c r="E213" s="53"/>
      <c r="F213" s="52" t="str">
        <f>IF(H209&lt;&gt;"",VLOOKUP(H209,'Team Setup'!$B$5:$D$63,3,FALSE),"")</f>
        <v/>
      </c>
      <c r="G213" s="53"/>
      <c r="H213" s="17"/>
      <c r="I213" s="17"/>
      <c r="J213" s="17"/>
      <c r="K213" s="170"/>
      <c r="L213" s="17"/>
      <c r="M213" s="17"/>
      <c r="N213" s="17" t="s">
        <v>186</v>
      </c>
      <c r="O213" s="17" t="s">
        <v>24</v>
      </c>
      <c r="P213" s="19" t="str">
        <f>IF(AND(P214&lt;&gt;"",R214&lt;&gt;""),IF(AND(V211&lt;&gt;"",X211&lt;&gt;"",V211&gt;X211),N214&amp;" win on Penalty Kick",IF(AND(V211&lt;&gt;"",X211&lt;&gt;"",V211&lt;X211),T214&amp;" win on Penalty Kick",IF(P214&gt;R214,N214&amp;" win",IF(R214&gt;P214,T214&amp;" win",IF(AND(P214=R214,L209&gt;V209),T214&amp;" win on away goals",IF(AND(P214=R214,L209&lt;V209+V210),N214&amp;" win on away goals","")))))),"")</f>
        <v/>
      </c>
      <c r="Q213" s="19"/>
      <c r="R213" s="19"/>
      <c r="S213" s="17"/>
      <c r="T213" s="17"/>
      <c r="U213" s="17"/>
      <c r="V213" s="17"/>
      <c r="W213" s="17"/>
      <c r="X213" s="17"/>
      <c r="Y213" s="17"/>
      <c r="Z213" s="17"/>
      <c r="AA213" s="57"/>
      <c r="AB213" s="57"/>
      <c r="AC213" s="57"/>
      <c r="AD213" s="57"/>
      <c r="AE213" s="58" t="str">
        <f>IF(Z209&lt;&gt;"",VLOOKUP(Z209,'Team Setup'!$B$5:$D$63,3,FALSE),"")</f>
        <v/>
      </c>
      <c r="AF213" s="9"/>
      <c r="AI213" s="35"/>
      <c r="CF213" s="3"/>
      <c r="CG213" s="3"/>
    </row>
    <row r="214" spans="2:85" ht="15" customHeight="1">
      <c r="B214" s="7"/>
      <c r="C214" s="53"/>
      <c r="D214" s="53"/>
      <c r="E214" s="53"/>
      <c r="F214" s="53"/>
      <c r="G214" s="53"/>
      <c r="H214" s="6"/>
      <c r="I214" s="6"/>
      <c r="J214" s="169"/>
      <c r="K214" s="20"/>
      <c r="L214" s="21"/>
      <c r="M214" s="169"/>
      <c r="N214" s="22" t="str">
        <f>H209</f>
        <v/>
      </c>
      <c r="O214" s="4"/>
      <c r="P214" s="23" t="str">
        <f>IF(AND(L209&lt;&gt;"",V209&lt;&gt;"",X209&lt;&gt;"",J209&lt;&gt;""),J209+V209+V210,"")</f>
        <v/>
      </c>
      <c r="Q214" s="24" t="s">
        <v>4</v>
      </c>
      <c r="R214" s="23" t="str">
        <f>IF(AND(L209&lt;&gt;"",V209&lt;&gt;"",X209&lt;&gt;"",J209&lt;&gt;""),L209+X209+X210,"")</f>
        <v/>
      </c>
      <c r="S214" s="4"/>
      <c r="T214" s="4" t="str">
        <f>Z209</f>
        <v/>
      </c>
      <c r="U214" s="6"/>
      <c r="V214" s="6"/>
      <c r="W214" s="6"/>
      <c r="X214" s="6"/>
      <c r="Y214" s="6"/>
      <c r="Z214" s="6"/>
      <c r="AA214" s="57"/>
      <c r="AB214" s="57"/>
      <c r="AC214" s="57"/>
      <c r="AD214" s="57"/>
      <c r="AE214" s="57"/>
      <c r="AF214" s="9"/>
      <c r="AI214" s="35"/>
      <c r="CF214" s="3"/>
      <c r="CG214" s="3"/>
    </row>
    <row r="215" spans="2:85" ht="15" customHeight="1">
      <c r="B215" s="7"/>
      <c r="G215" s="6"/>
      <c r="H215" s="6"/>
      <c r="I215" s="6"/>
      <c r="J215" s="6"/>
      <c r="K215" s="169"/>
      <c r="L215" s="6"/>
      <c r="M215" s="6"/>
      <c r="N215" s="6"/>
      <c r="O215" s="6"/>
      <c r="P215" s="6"/>
      <c r="Q215" s="6"/>
      <c r="R215" s="6"/>
      <c r="S215" s="6"/>
      <c r="T215" s="6"/>
      <c r="U215" s="6"/>
      <c r="V215" s="6"/>
      <c r="W215" s="6"/>
      <c r="X215" s="6"/>
      <c r="Y215" s="6"/>
      <c r="Z215" s="6"/>
      <c r="AA215" s="6"/>
      <c r="AD215" s="6"/>
      <c r="AE215" s="6"/>
      <c r="AF215" s="9"/>
      <c r="CF215" s="3"/>
      <c r="CG215" s="3"/>
    </row>
    <row r="216" spans="2:85" ht="15" customHeight="1">
      <c r="B216" s="7"/>
      <c r="C216" s="234" t="s">
        <v>185</v>
      </c>
      <c r="D216" s="234"/>
      <c r="E216" s="234"/>
      <c r="F216" s="234"/>
      <c r="G216" s="234"/>
      <c r="H216" s="234"/>
      <c r="I216" s="234"/>
      <c r="J216" s="234"/>
      <c r="K216" s="234"/>
      <c r="L216" s="234"/>
      <c r="M216" s="234"/>
      <c r="N216" s="234"/>
      <c r="O216" s="234"/>
      <c r="P216" s="234"/>
      <c r="Q216" s="6"/>
      <c r="R216" s="235" t="s">
        <v>184</v>
      </c>
      <c r="S216" s="235"/>
      <c r="T216" s="235"/>
      <c r="U216" s="235"/>
      <c r="V216" s="235"/>
      <c r="W216" s="235"/>
      <c r="X216" s="235"/>
      <c r="Y216" s="235"/>
      <c r="Z216" s="235"/>
      <c r="AA216" s="235"/>
      <c r="AB216" s="235"/>
      <c r="AC216" s="235"/>
      <c r="AD216" s="235"/>
      <c r="AE216" s="235"/>
      <c r="AF216" s="9"/>
      <c r="AI216" s="35"/>
      <c r="CF216" s="3"/>
      <c r="CG216" s="3"/>
    </row>
    <row r="217" spans="2:85" ht="15" customHeight="1">
      <c r="B217" s="7"/>
      <c r="C217" s="51"/>
      <c r="D217" s="51"/>
      <c r="E217" s="51"/>
      <c r="F217" s="51"/>
      <c r="G217" s="51"/>
      <c r="H217" s="51"/>
      <c r="I217" s="51"/>
      <c r="J217" s="51"/>
      <c r="K217" s="51"/>
      <c r="L217" s="51"/>
      <c r="M217" s="51"/>
      <c r="N217" s="51"/>
      <c r="O217" s="51"/>
      <c r="P217" s="51"/>
      <c r="Q217" s="4"/>
      <c r="R217" s="57"/>
      <c r="S217" s="57"/>
      <c r="T217" s="57"/>
      <c r="U217" s="57"/>
      <c r="V217" s="57"/>
      <c r="W217" s="57"/>
      <c r="X217" s="57"/>
      <c r="Y217" s="57"/>
      <c r="Z217" s="57"/>
      <c r="AA217" s="57"/>
      <c r="AB217" s="57"/>
      <c r="AC217" s="57"/>
      <c r="AD217" s="57"/>
      <c r="AE217" s="57"/>
      <c r="AF217" s="9"/>
      <c r="AI217" s="35"/>
      <c r="CF217" s="3"/>
      <c r="CG217" s="3"/>
    </row>
    <row r="218" spans="2:85" ht="15" customHeight="1">
      <c r="B218" s="7"/>
      <c r="C218" s="53"/>
      <c r="D218" s="53" t="s">
        <v>299</v>
      </c>
      <c r="E218" s="53"/>
      <c r="F218" s="54"/>
      <c r="G218" s="55"/>
      <c r="H218" s="68" t="str">
        <f>IF(H158&lt;&gt;"",H158,"")</f>
        <v/>
      </c>
      <c r="I218" s="53"/>
      <c r="J218" s="52"/>
      <c r="K218" s="52" t="s">
        <v>4</v>
      </c>
      <c r="L218" s="52"/>
      <c r="M218" s="53"/>
      <c r="N218" s="69" t="str">
        <f>Z218</f>
        <v/>
      </c>
      <c r="O218" s="53"/>
      <c r="P218" s="53"/>
      <c r="Q218" s="6"/>
      <c r="R218" s="57"/>
      <c r="S218" s="57"/>
      <c r="T218" s="66" t="str">
        <f>H218</f>
        <v/>
      </c>
      <c r="U218" s="57"/>
      <c r="V218" s="58"/>
      <c r="W218" s="58" t="s">
        <v>4</v>
      </c>
      <c r="X218" s="58"/>
      <c r="Y218" s="57"/>
      <c r="Z218" s="67" t="str">
        <f>IF(N158&lt;&gt;"",N158,"")</f>
        <v/>
      </c>
      <c r="AA218" s="57"/>
      <c r="AB218" s="57"/>
      <c r="AC218" s="57" t="str">
        <f>D218</f>
        <v>Round of 16 - Match 6</v>
      </c>
      <c r="AD218" s="57"/>
      <c r="AE218" s="59"/>
      <c r="AF218" s="9"/>
      <c r="AI218" s="35"/>
      <c r="CF218" s="3"/>
      <c r="CG218" s="3"/>
    </row>
    <row r="219" spans="2:85" ht="15" customHeight="1">
      <c r="B219" s="7"/>
      <c r="C219" s="53"/>
      <c r="D219" s="53" t="s">
        <v>1</v>
      </c>
      <c r="E219" s="53" t="s">
        <v>24</v>
      </c>
      <c r="F219" s="56"/>
      <c r="G219" s="53"/>
      <c r="H219" s="53"/>
      <c r="I219" s="53"/>
      <c r="J219" s="53"/>
      <c r="K219" s="52"/>
      <c r="L219" s="53"/>
      <c r="M219" s="53"/>
      <c r="N219" s="53"/>
      <c r="O219" s="53"/>
      <c r="P219" s="53"/>
      <c r="Q219" s="6"/>
      <c r="R219" s="57"/>
      <c r="S219" s="57"/>
      <c r="T219" s="57"/>
      <c r="U219" s="162" t="s">
        <v>223</v>
      </c>
      <c r="V219" s="58"/>
      <c r="W219" s="162" t="s">
        <v>4</v>
      </c>
      <c r="X219" s="58"/>
      <c r="Y219" s="57"/>
      <c r="Z219" s="57"/>
      <c r="AA219" s="57"/>
      <c r="AB219" s="57"/>
      <c r="AC219" s="57" t="s">
        <v>1</v>
      </c>
      <c r="AD219" s="57" t="s">
        <v>24</v>
      </c>
      <c r="AE219" s="60"/>
      <c r="AF219" s="9"/>
      <c r="AI219" s="35"/>
      <c r="CF219" s="3"/>
      <c r="CG219" s="3"/>
    </row>
    <row r="220" spans="2:85" ht="15" customHeight="1">
      <c r="B220" s="7"/>
      <c r="C220" s="53"/>
      <c r="D220" s="53" t="s">
        <v>2</v>
      </c>
      <c r="E220" s="53" t="s">
        <v>24</v>
      </c>
      <c r="F220" s="53"/>
      <c r="G220" s="53"/>
      <c r="H220" s="160"/>
      <c r="I220" s="160"/>
      <c r="J220" s="160"/>
      <c r="K220" s="161"/>
      <c r="L220" s="160"/>
      <c r="M220" s="160"/>
      <c r="N220" s="160"/>
      <c r="O220" s="160"/>
      <c r="P220" s="160"/>
      <c r="R220" s="158"/>
      <c r="S220" s="158"/>
      <c r="T220" s="158"/>
      <c r="U220" s="163" t="s">
        <v>222</v>
      </c>
      <c r="V220" s="159"/>
      <c r="W220" s="162" t="s">
        <v>4</v>
      </c>
      <c r="X220" s="159"/>
      <c r="Y220" s="158"/>
      <c r="Z220" s="158"/>
      <c r="AA220" s="57"/>
      <c r="AB220" s="57"/>
      <c r="AC220" s="57" t="s">
        <v>2</v>
      </c>
      <c r="AD220" s="57" t="s">
        <v>24</v>
      </c>
      <c r="AE220" s="58"/>
      <c r="AF220" s="9"/>
      <c r="AI220" s="35"/>
      <c r="CF220" s="3"/>
      <c r="CG220" s="3"/>
    </row>
    <row r="221" spans="2:85" ht="15" customHeight="1">
      <c r="B221" s="7"/>
      <c r="C221" s="53"/>
      <c r="D221" s="53" t="s">
        <v>187</v>
      </c>
      <c r="E221" s="53" t="s">
        <v>24</v>
      </c>
      <c r="F221" s="52" t="str">
        <f>IF(H218&lt;&gt;"",VLOOKUP(H218,'Team Setup'!$B$5:$C$63,2,FALSE),"")</f>
        <v/>
      </c>
      <c r="G221" s="53"/>
      <c r="H221" s="160"/>
      <c r="I221" s="160"/>
      <c r="J221" s="160"/>
      <c r="K221" s="161"/>
      <c r="L221" s="160"/>
      <c r="M221" s="160"/>
      <c r="N221" s="160"/>
      <c r="O221" s="160"/>
      <c r="P221" s="160"/>
      <c r="R221" s="158"/>
      <c r="S221" s="158"/>
      <c r="T221" s="158"/>
      <c r="U221" s="158"/>
      <c r="V221" s="158"/>
      <c r="W221" s="158"/>
      <c r="X221" s="158"/>
      <c r="Y221" s="158"/>
      <c r="Z221" s="158"/>
      <c r="AA221" s="57"/>
      <c r="AB221" s="57"/>
      <c r="AC221" s="57" t="s">
        <v>187</v>
      </c>
      <c r="AD221" s="57" t="s">
        <v>24</v>
      </c>
      <c r="AE221" s="58" t="str">
        <f>IF(Z218&lt;&gt;"",VLOOKUP(Z218,'Team Setup'!$B$5:$C$63,2,FALSE),"")</f>
        <v/>
      </c>
      <c r="AF221" s="9"/>
      <c r="AI221" s="35"/>
      <c r="CF221" s="3"/>
      <c r="CG221" s="3"/>
    </row>
    <row r="222" spans="2:85" ht="15" customHeight="1">
      <c r="B222" s="7"/>
      <c r="C222" s="53"/>
      <c r="D222" s="53"/>
      <c r="E222" s="53"/>
      <c r="F222" s="52" t="str">
        <f>IF(H218&lt;&gt;"",VLOOKUP(H218,'Team Setup'!$B$5:$D$63,3,FALSE),"")</f>
        <v/>
      </c>
      <c r="G222" s="53"/>
      <c r="H222" s="17"/>
      <c r="I222" s="17"/>
      <c r="J222" s="17"/>
      <c r="K222" s="170"/>
      <c r="L222" s="17"/>
      <c r="M222" s="17"/>
      <c r="N222" s="17" t="s">
        <v>186</v>
      </c>
      <c r="O222" s="17" t="s">
        <v>24</v>
      </c>
      <c r="P222" s="19" t="str">
        <f>IF(AND(P223&lt;&gt;"",R223&lt;&gt;""),IF(AND(V220&lt;&gt;"",X220&lt;&gt;"",V220&gt;X220),N223&amp;" win on Penalty Kick",IF(AND(V220&lt;&gt;"",X220&lt;&gt;"",V220&lt;X220),T223&amp;" win on Penalty Kick",IF(P223&gt;R223,N223&amp;" win",IF(R223&gt;P223,T223&amp;" win",IF(AND(P223=R223,L218&gt;V218),T223&amp;" win on away goals",IF(AND(P223=R223,L218&lt;V218+V219),N223&amp;" win on away goals","")))))),"")</f>
        <v/>
      </c>
      <c r="Q222" s="19"/>
      <c r="R222" s="19"/>
      <c r="S222" s="17"/>
      <c r="T222" s="17"/>
      <c r="U222" s="17"/>
      <c r="V222" s="17"/>
      <c r="W222" s="17"/>
      <c r="X222" s="17"/>
      <c r="Y222" s="17"/>
      <c r="Z222" s="17"/>
      <c r="AA222" s="57"/>
      <c r="AB222" s="57"/>
      <c r="AC222" s="57"/>
      <c r="AD222" s="57"/>
      <c r="AE222" s="58" t="str">
        <f>IF(Z218&lt;&gt;"",VLOOKUP(Z218,'Team Setup'!$B$5:$D$63,3,FALSE),"")</f>
        <v/>
      </c>
      <c r="AF222" s="9"/>
      <c r="AI222" s="35"/>
      <c r="CF222" s="3"/>
      <c r="CG222" s="3"/>
    </row>
    <row r="223" spans="2:85" ht="15" customHeight="1">
      <c r="B223" s="7"/>
      <c r="C223" s="53"/>
      <c r="D223" s="53"/>
      <c r="E223" s="53"/>
      <c r="F223" s="53"/>
      <c r="G223" s="53"/>
      <c r="H223" s="6"/>
      <c r="I223" s="6"/>
      <c r="J223" s="169"/>
      <c r="K223" s="20"/>
      <c r="L223" s="21"/>
      <c r="M223" s="169"/>
      <c r="N223" s="22" t="str">
        <f>H218</f>
        <v/>
      </c>
      <c r="O223" s="4"/>
      <c r="P223" s="23" t="str">
        <f>IF(AND(L218&lt;&gt;"",V218&lt;&gt;"",X218&lt;&gt;"",J218&lt;&gt;""),J218+V218+V219,"")</f>
        <v/>
      </c>
      <c r="Q223" s="24" t="s">
        <v>4</v>
      </c>
      <c r="R223" s="23" t="str">
        <f>IF(AND(L218&lt;&gt;"",V218&lt;&gt;"",X218&lt;&gt;"",J218&lt;&gt;""),L218+X218+X219,"")</f>
        <v/>
      </c>
      <c r="S223" s="4"/>
      <c r="T223" s="4" t="str">
        <f>Z218</f>
        <v/>
      </c>
      <c r="U223" s="6"/>
      <c r="V223" s="6"/>
      <c r="W223" s="6"/>
      <c r="X223" s="6"/>
      <c r="Y223" s="6"/>
      <c r="Z223" s="6"/>
      <c r="AA223" s="57"/>
      <c r="AB223" s="57"/>
      <c r="AC223" s="57"/>
      <c r="AD223" s="57"/>
      <c r="AE223" s="57"/>
      <c r="AF223" s="9"/>
      <c r="AI223" s="35"/>
      <c r="CF223" s="3"/>
      <c r="CG223" s="3"/>
    </row>
    <row r="224" spans="2:85" ht="15" customHeight="1">
      <c r="B224" s="7"/>
      <c r="G224" s="6"/>
      <c r="H224" s="6"/>
      <c r="I224" s="6"/>
      <c r="J224" s="6"/>
      <c r="K224" s="169"/>
      <c r="L224" s="6"/>
      <c r="M224" s="6"/>
      <c r="N224" s="6"/>
      <c r="O224" s="6"/>
      <c r="P224" s="6"/>
      <c r="Q224" s="6"/>
      <c r="R224" s="6"/>
      <c r="S224" s="6"/>
      <c r="T224" s="6"/>
      <c r="U224" s="6"/>
      <c r="V224" s="6"/>
      <c r="W224" s="6"/>
      <c r="X224" s="6"/>
      <c r="Y224" s="6"/>
      <c r="Z224" s="6"/>
      <c r="AA224" s="6"/>
      <c r="AD224" s="6"/>
      <c r="AE224" s="6"/>
      <c r="AF224" s="9"/>
      <c r="CF224" s="3"/>
      <c r="CG224" s="3"/>
    </row>
    <row r="225" spans="2:85" ht="15" customHeight="1">
      <c r="B225" s="7"/>
      <c r="C225" s="234" t="s">
        <v>185</v>
      </c>
      <c r="D225" s="234"/>
      <c r="E225" s="234"/>
      <c r="F225" s="234"/>
      <c r="G225" s="234"/>
      <c r="H225" s="234"/>
      <c r="I225" s="234"/>
      <c r="J225" s="234"/>
      <c r="K225" s="234"/>
      <c r="L225" s="234"/>
      <c r="M225" s="234"/>
      <c r="N225" s="234"/>
      <c r="O225" s="234"/>
      <c r="P225" s="234"/>
      <c r="Q225" s="6"/>
      <c r="R225" s="235" t="s">
        <v>184</v>
      </c>
      <c r="S225" s="235"/>
      <c r="T225" s="235"/>
      <c r="U225" s="235"/>
      <c r="V225" s="235"/>
      <c r="W225" s="235"/>
      <c r="X225" s="235"/>
      <c r="Y225" s="235"/>
      <c r="Z225" s="235"/>
      <c r="AA225" s="235"/>
      <c r="AB225" s="235"/>
      <c r="AC225" s="235"/>
      <c r="AD225" s="235"/>
      <c r="AE225" s="235"/>
      <c r="AF225" s="9"/>
      <c r="AI225" s="35"/>
      <c r="CF225" s="3"/>
      <c r="CG225" s="3"/>
    </row>
    <row r="226" spans="2:85" ht="15" customHeight="1">
      <c r="B226" s="7"/>
      <c r="C226" s="51"/>
      <c r="D226" s="51"/>
      <c r="E226" s="51"/>
      <c r="F226" s="51"/>
      <c r="G226" s="51"/>
      <c r="H226" s="51"/>
      <c r="I226" s="51"/>
      <c r="J226" s="51"/>
      <c r="K226" s="51"/>
      <c r="L226" s="51"/>
      <c r="M226" s="51"/>
      <c r="N226" s="51"/>
      <c r="O226" s="51"/>
      <c r="P226" s="51"/>
      <c r="Q226" s="4"/>
      <c r="R226" s="57"/>
      <c r="S226" s="57"/>
      <c r="T226" s="57"/>
      <c r="U226" s="57"/>
      <c r="V226" s="57"/>
      <c r="W226" s="57"/>
      <c r="X226" s="57"/>
      <c r="Y226" s="57"/>
      <c r="Z226" s="57"/>
      <c r="AA226" s="57"/>
      <c r="AB226" s="57"/>
      <c r="AC226" s="57"/>
      <c r="AD226" s="57"/>
      <c r="AE226" s="57"/>
      <c r="AF226" s="9"/>
      <c r="AI226" s="35"/>
      <c r="CF226" s="3"/>
      <c r="CG226" s="3"/>
    </row>
    <row r="227" spans="2:85" ht="15" customHeight="1">
      <c r="B227" s="7"/>
      <c r="C227" s="53"/>
      <c r="D227" s="53" t="s">
        <v>300</v>
      </c>
      <c r="E227" s="53"/>
      <c r="F227" s="54"/>
      <c r="G227" s="55"/>
      <c r="H227" s="68" t="str">
        <f>IF(H159&lt;&gt;"",H159,"")</f>
        <v/>
      </c>
      <c r="I227" s="53"/>
      <c r="J227" s="52"/>
      <c r="K227" s="52" t="s">
        <v>4</v>
      </c>
      <c r="L227" s="52"/>
      <c r="M227" s="53"/>
      <c r="N227" s="69" t="str">
        <f>Z227</f>
        <v/>
      </c>
      <c r="O227" s="53"/>
      <c r="P227" s="53"/>
      <c r="Q227" s="6"/>
      <c r="R227" s="57"/>
      <c r="S227" s="57"/>
      <c r="T227" s="66" t="str">
        <f>H227</f>
        <v/>
      </c>
      <c r="U227" s="57"/>
      <c r="V227" s="58"/>
      <c r="W227" s="58" t="s">
        <v>4</v>
      </c>
      <c r="X227" s="58"/>
      <c r="Y227" s="57"/>
      <c r="Z227" s="67" t="str">
        <f>IF(N159&lt;&gt;"",N159,"")</f>
        <v/>
      </c>
      <c r="AA227" s="57"/>
      <c r="AB227" s="57"/>
      <c r="AC227" s="57" t="str">
        <f>D227</f>
        <v>Round of 16 - Match 7</v>
      </c>
      <c r="AD227" s="57"/>
      <c r="AE227" s="59"/>
      <c r="AF227" s="9"/>
      <c r="AI227" s="35"/>
      <c r="CF227" s="3"/>
      <c r="CG227" s="3"/>
    </row>
    <row r="228" spans="2:85" ht="15" customHeight="1">
      <c r="B228" s="7"/>
      <c r="C228" s="53"/>
      <c r="D228" s="53" t="s">
        <v>1</v>
      </c>
      <c r="E228" s="53" t="s">
        <v>24</v>
      </c>
      <c r="F228" s="56"/>
      <c r="G228" s="53"/>
      <c r="H228" s="53"/>
      <c r="I228" s="53"/>
      <c r="J228" s="53"/>
      <c r="K228" s="52"/>
      <c r="L228" s="53"/>
      <c r="M228" s="53"/>
      <c r="N228" s="53"/>
      <c r="O228" s="53"/>
      <c r="P228" s="53"/>
      <c r="Q228" s="6"/>
      <c r="R228" s="57"/>
      <c r="S228" s="57"/>
      <c r="T228" s="57"/>
      <c r="U228" s="162" t="s">
        <v>223</v>
      </c>
      <c r="V228" s="58"/>
      <c r="W228" s="162" t="s">
        <v>4</v>
      </c>
      <c r="X228" s="58"/>
      <c r="Y228" s="57"/>
      <c r="Z228" s="57"/>
      <c r="AA228" s="57"/>
      <c r="AB228" s="57"/>
      <c r="AC228" s="57" t="s">
        <v>1</v>
      </c>
      <c r="AD228" s="57" t="s">
        <v>24</v>
      </c>
      <c r="AE228" s="60"/>
      <c r="AF228" s="9"/>
      <c r="AI228" s="35"/>
      <c r="CF228" s="3"/>
      <c r="CG228" s="3"/>
    </row>
    <row r="229" spans="2:85" ht="15" customHeight="1">
      <c r="B229" s="7"/>
      <c r="C229" s="53"/>
      <c r="D229" s="53" t="s">
        <v>2</v>
      </c>
      <c r="E229" s="53" t="s">
        <v>24</v>
      </c>
      <c r="F229" s="53"/>
      <c r="G229" s="53"/>
      <c r="H229" s="160"/>
      <c r="I229" s="160"/>
      <c r="J229" s="160"/>
      <c r="K229" s="161"/>
      <c r="L229" s="160"/>
      <c r="M229" s="160"/>
      <c r="N229" s="160"/>
      <c r="O229" s="160"/>
      <c r="P229" s="160"/>
      <c r="R229" s="158"/>
      <c r="S229" s="158"/>
      <c r="T229" s="158"/>
      <c r="U229" s="163" t="s">
        <v>222</v>
      </c>
      <c r="V229" s="159"/>
      <c r="W229" s="162" t="s">
        <v>4</v>
      </c>
      <c r="X229" s="159"/>
      <c r="Y229" s="158"/>
      <c r="Z229" s="158"/>
      <c r="AA229" s="57"/>
      <c r="AB229" s="57"/>
      <c r="AC229" s="57" t="s">
        <v>2</v>
      </c>
      <c r="AD229" s="57" t="s">
        <v>24</v>
      </c>
      <c r="AE229" s="58"/>
      <c r="AF229" s="9"/>
      <c r="AI229" s="35"/>
      <c r="CF229" s="3"/>
      <c r="CG229" s="3"/>
    </row>
    <row r="230" spans="2:85" ht="15" customHeight="1">
      <c r="B230" s="7"/>
      <c r="C230" s="53"/>
      <c r="D230" s="53" t="s">
        <v>187</v>
      </c>
      <c r="E230" s="53" t="s">
        <v>24</v>
      </c>
      <c r="F230" s="52" t="str">
        <f>IF(H227&lt;&gt;"",VLOOKUP(H227,'Team Setup'!$B$5:$C$63,2,FALSE),"")</f>
        <v/>
      </c>
      <c r="G230" s="53"/>
      <c r="H230" s="160"/>
      <c r="I230" s="160"/>
      <c r="J230" s="160"/>
      <c r="K230" s="161"/>
      <c r="L230" s="160"/>
      <c r="M230" s="160"/>
      <c r="N230" s="160"/>
      <c r="O230" s="160"/>
      <c r="P230" s="160"/>
      <c r="R230" s="158"/>
      <c r="S230" s="158"/>
      <c r="T230" s="158"/>
      <c r="U230" s="158"/>
      <c r="V230" s="158"/>
      <c r="W230" s="158"/>
      <c r="X230" s="158"/>
      <c r="Y230" s="158"/>
      <c r="Z230" s="158"/>
      <c r="AA230" s="57"/>
      <c r="AB230" s="57"/>
      <c r="AC230" s="57" t="s">
        <v>187</v>
      </c>
      <c r="AD230" s="57" t="s">
        <v>24</v>
      </c>
      <c r="AE230" s="58" t="str">
        <f>IF(Z227&lt;&gt;"",VLOOKUP(Z227,'Team Setup'!$B$5:$C$63,2,FALSE),"")</f>
        <v/>
      </c>
      <c r="AF230" s="9"/>
      <c r="AI230" s="35"/>
      <c r="CF230" s="3"/>
      <c r="CG230" s="3"/>
    </row>
    <row r="231" spans="2:85" ht="15" customHeight="1">
      <c r="B231" s="7"/>
      <c r="C231" s="53"/>
      <c r="D231" s="53"/>
      <c r="E231" s="53"/>
      <c r="F231" s="52" t="str">
        <f>IF(H227&lt;&gt;"",VLOOKUP(H227,'Team Setup'!$B$5:$D$63,3,FALSE),"")</f>
        <v/>
      </c>
      <c r="G231" s="53"/>
      <c r="H231" s="17"/>
      <c r="I231" s="17"/>
      <c r="J231" s="17"/>
      <c r="K231" s="170"/>
      <c r="L231" s="17"/>
      <c r="M231" s="17"/>
      <c r="N231" s="17" t="s">
        <v>186</v>
      </c>
      <c r="O231" s="17" t="s">
        <v>24</v>
      </c>
      <c r="P231" s="19" t="str">
        <f>IF(AND(P232&lt;&gt;"",R232&lt;&gt;""),IF(AND(V229&lt;&gt;"",X229&lt;&gt;"",V229&gt;X229),N232&amp;" win on Penalty Kick",IF(AND(V229&lt;&gt;"",X229&lt;&gt;"",V229&lt;X229),T232&amp;" win on Penalty Kick",IF(P232&gt;R232,N232&amp;" win",IF(R232&gt;P232,T232&amp;" win",IF(AND(P232=R232,L227&gt;V227),T232&amp;" win on away goals",IF(AND(P232=R232,L227&lt;V227+V228),N232&amp;" win on away goals","")))))),"")</f>
        <v/>
      </c>
      <c r="Q231" s="19"/>
      <c r="R231" s="19"/>
      <c r="S231" s="17"/>
      <c r="T231" s="17"/>
      <c r="U231" s="17"/>
      <c r="V231" s="17"/>
      <c r="W231" s="17"/>
      <c r="X231" s="17"/>
      <c r="Y231" s="17"/>
      <c r="Z231" s="17"/>
      <c r="AA231" s="57"/>
      <c r="AB231" s="57"/>
      <c r="AC231" s="57"/>
      <c r="AD231" s="57"/>
      <c r="AE231" s="58" t="str">
        <f>IF(Z227&lt;&gt;"",VLOOKUP(Z227,'Team Setup'!$B$5:$D$63,3,FALSE),"")</f>
        <v/>
      </c>
      <c r="AF231" s="9"/>
      <c r="AI231" s="35"/>
      <c r="CF231" s="3"/>
      <c r="CG231" s="3"/>
    </row>
    <row r="232" spans="2:85" ht="15" customHeight="1">
      <c r="B232" s="7"/>
      <c r="C232" s="53"/>
      <c r="D232" s="53"/>
      <c r="E232" s="53"/>
      <c r="F232" s="53"/>
      <c r="G232" s="53"/>
      <c r="H232" s="6"/>
      <c r="I232" s="6"/>
      <c r="J232" s="169"/>
      <c r="K232" s="20"/>
      <c r="L232" s="21"/>
      <c r="M232" s="169"/>
      <c r="N232" s="22" t="str">
        <f>H227</f>
        <v/>
      </c>
      <c r="O232" s="4"/>
      <c r="P232" s="23" t="str">
        <f>IF(AND(L227&lt;&gt;"",V227&lt;&gt;"",X227&lt;&gt;"",J227&lt;&gt;""),J227+V227+V228,"")</f>
        <v/>
      </c>
      <c r="Q232" s="24" t="s">
        <v>4</v>
      </c>
      <c r="R232" s="23" t="str">
        <f>IF(AND(L227&lt;&gt;"",V227&lt;&gt;"",X227&lt;&gt;"",J227&lt;&gt;""),L227+X227+X228,"")</f>
        <v/>
      </c>
      <c r="S232" s="4"/>
      <c r="T232" s="4" t="str">
        <f>Z227</f>
        <v/>
      </c>
      <c r="U232" s="6"/>
      <c r="V232" s="6"/>
      <c r="W232" s="6"/>
      <c r="X232" s="6"/>
      <c r="Y232" s="6"/>
      <c r="Z232" s="6"/>
      <c r="AA232" s="57"/>
      <c r="AB232" s="57"/>
      <c r="AC232" s="57"/>
      <c r="AD232" s="57"/>
      <c r="AE232" s="57"/>
      <c r="AF232" s="9"/>
      <c r="AI232" s="35"/>
      <c r="CF232" s="3"/>
      <c r="CG232" s="3"/>
    </row>
    <row r="233" spans="2:85" ht="15" customHeight="1">
      <c r="B233" s="7"/>
      <c r="G233" s="6"/>
      <c r="H233" s="6"/>
      <c r="I233" s="6"/>
      <c r="J233" s="6"/>
      <c r="K233" s="169"/>
      <c r="L233" s="6"/>
      <c r="M233" s="6"/>
      <c r="N233" s="6"/>
      <c r="O233" s="6"/>
      <c r="P233" s="6"/>
      <c r="Q233" s="6"/>
      <c r="R233" s="6"/>
      <c r="S233" s="6"/>
      <c r="T233" s="6"/>
      <c r="U233" s="6"/>
      <c r="V233" s="6"/>
      <c r="W233" s="6"/>
      <c r="X233" s="6"/>
      <c r="Y233" s="6"/>
      <c r="Z233" s="6"/>
      <c r="AA233" s="6"/>
      <c r="AD233" s="6"/>
      <c r="AE233" s="6"/>
      <c r="AF233" s="9"/>
      <c r="CF233" s="3"/>
      <c r="CG233" s="3"/>
    </row>
    <row r="234" spans="2:85" ht="15" customHeight="1">
      <c r="B234" s="7"/>
      <c r="C234" s="234" t="s">
        <v>185</v>
      </c>
      <c r="D234" s="234"/>
      <c r="E234" s="234"/>
      <c r="F234" s="234"/>
      <c r="G234" s="234"/>
      <c r="H234" s="234"/>
      <c r="I234" s="234"/>
      <c r="J234" s="234"/>
      <c r="K234" s="234"/>
      <c r="L234" s="234"/>
      <c r="M234" s="234"/>
      <c r="N234" s="234"/>
      <c r="O234" s="234"/>
      <c r="P234" s="234"/>
      <c r="Q234" s="6"/>
      <c r="R234" s="235" t="s">
        <v>184</v>
      </c>
      <c r="S234" s="235"/>
      <c r="T234" s="235"/>
      <c r="U234" s="235"/>
      <c r="V234" s="235"/>
      <c r="W234" s="235"/>
      <c r="X234" s="235"/>
      <c r="Y234" s="235"/>
      <c r="Z234" s="235"/>
      <c r="AA234" s="235"/>
      <c r="AB234" s="235"/>
      <c r="AC234" s="235"/>
      <c r="AD234" s="235"/>
      <c r="AE234" s="235"/>
      <c r="AF234" s="9"/>
      <c r="AI234" s="35"/>
      <c r="CF234" s="3"/>
      <c r="CG234" s="3"/>
    </row>
    <row r="235" spans="2:85" ht="15" customHeight="1">
      <c r="B235" s="7"/>
      <c r="C235" s="51"/>
      <c r="D235" s="51"/>
      <c r="E235" s="51"/>
      <c r="F235" s="51"/>
      <c r="G235" s="51"/>
      <c r="H235" s="51"/>
      <c r="I235" s="51"/>
      <c r="J235" s="51"/>
      <c r="K235" s="51"/>
      <c r="L235" s="51"/>
      <c r="M235" s="51"/>
      <c r="N235" s="51"/>
      <c r="O235" s="51"/>
      <c r="P235" s="51"/>
      <c r="Q235" s="4"/>
      <c r="R235" s="57"/>
      <c r="S235" s="57"/>
      <c r="T235" s="57"/>
      <c r="U235" s="57"/>
      <c r="V235" s="57"/>
      <c r="W235" s="57"/>
      <c r="X235" s="57"/>
      <c r="Y235" s="57"/>
      <c r="Z235" s="57"/>
      <c r="AA235" s="57"/>
      <c r="AB235" s="57"/>
      <c r="AC235" s="57"/>
      <c r="AD235" s="57"/>
      <c r="AE235" s="57"/>
      <c r="AF235" s="9"/>
      <c r="AI235" s="35"/>
      <c r="CF235" s="3"/>
      <c r="CG235" s="3"/>
    </row>
    <row r="236" spans="2:85" ht="15" customHeight="1">
      <c r="B236" s="7"/>
      <c r="C236" s="53"/>
      <c r="D236" s="53" t="s">
        <v>301</v>
      </c>
      <c r="E236" s="53"/>
      <c r="F236" s="54"/>
      <c r="G236" s="55"/>
      <c r="H236" s="68" t="str">
        <f>IF(H160&lt;&gt;"",H160,"")</f>
        <v/>
      </c>
      <c r="I236" s="53"/>
      <c r="J236" s="52"/>
      <c r="K236" s="52" t="s">
        <v>4</v>
      </c>
      <c r="L236" s="52"/>
      <c r="M236" s="53"/>
      <c r="N236" s="69" t="str">
        <f>Z236</f>
        <v/>
      </c>
      <c r="O236" s="53"/>
      <c r="P236" s="53"/>
      <c r="Q236" s="6"/>
      <c r="R236" s="57"/>
      <c r="S236" s="57"/>
      <c r="T236" s="66" t="str">
        <f>H236</f>
        <v/>
      </c>
      <c r="U236" s="57"/>
      <c r="V236" s="58"/>
      <c r="W236" s="58" t="s">
        <v>4</v>
      </c>
      <c r="X236" s="58"/>
      <c r="Y236" s="57"/>
      <c r="Z236" s="67" t="str">
        <f>IF(N160&lt;&gt;"",N160,"")</f>
        <v/>
      </c>
      <c r="AA236" s="57"/>
      <c r="AB236" s="57"/>
      <c r="AC236" s="57" t="str">
        <f>D236</f>
        <v>Round of 16 - Match 8</v>
      </c>
      <c r="AD236" s="57"/>
      <c r="AE236" s="59"/>
      <c r="AF236" s="9"/>
      <c r="AI236" s="35"/>
      <c r="CF236" s="3"/>
      <c r="CG236" s="3"/>
    </row>
    <row r="237" spans="2:85" ht="15" customHeight="1">
      <c r="B237" s="7"/>
      <c r="C237" s="53"/>
      <c r="D237" s="53" t="s">
        <v>1</v>
      </c>
      <c r="E237" s="53" t="s">
        <v>24</v>
      </c>
      <c r="F237" s="56"/>
      <c r="G237" s="53"/>
      <c r="H237" s="53"/>
      <c r="I237" s="53"/>
      <c r="J237" s="53"/>
      <c r="K237" s="52"/>
      <c r="L237" s="53"/>
      <c r="M237" s="53"/>
      <c r="N237" s="53"/>
      <c r="O237" s="53"/>
      <c r="P237" s="53"/>
      <c r="Q237" s="6"/>
      <c r="R237" s="57"/>
      <c r="S237" s="57"/>
      <c r="T237" s="57"/>
      <c r="U237" s="162" t="s">
        <v>223</v>
      </c>
      <c r="V237" s="58"/>
      <c r="W237" s="162" t="s">
        <v>4</v>
      </c>
      <c r="X237" s="58"/>
      <c r="Y237" s="57"/>
      <c r="Z237" s="57"/>
      <c r="AA237" s="57"/>
      <c r="AB237" s="57"/>
      <c r="AC237" s="57" t="s">
        <v>1</v>
      </c>
      <c r="AD237" s="57" t="s">
        <v>24</v>
      </c>
      <c r="AE237" s="60"/>
      <c r="AF237" s="9"/>
      <c r="AI237" s="35"/>
      <c r="CF237" s="3"/>
      <c r="CG237" s="3"/>
    </row>
    <row r="238" spans="2:85" ht="15" customHeight="1">
      <c r="B238" s="7"/>
      <c r="C238" s="53"/>
      <c r="D238" s="53" t="s">
        <v>2</v>
      </c>
      <c r="E238" s="53" t="s">
        <v>24</v>
      </c>
      <c r="F238" s="53"/>
      <c r="G238" s="53"/>
      <c r="H238" s="160"/>
      <c r="I238" s="160"/>
      <c r="J238" s="160"/>
      <c r="K238" s="161"/>
      <c r="L238" s="160"/>
      <c r="M238" s="160"/>
      <c r="N238" s="160"/>
      <c r="O238" s="160"/>
      <c r="P238" s="160"/>
      <c r="R238" s="158"/>
      <c r="S238" s="158"/>
      <c r="T238" s="158"/>
      <c r="U238" s="163" t="s">
        <v>222</v>
      </c>
      <c r="V238" s="159"/>
      <c r="W238" s="162" t="s">
        <v>4</v>
      </c>
      <c r="X238" s="159"/>
      <c r="Y238" s="158"/>
      <c r="Z238" s="158"/>
      <c r="AA238" s="57"/>
      <c r="AB238" s="57"/>
      <c r="AC238" s="57" t="s">
        <v>2</v>
      </c>
      <c r="AD238" s="57" t="s">
        <v>24</v>
      </c>
      <c r="AE238" s="58"/>
      <c r="AF238" s="9"/>
      <c r="AI238" s="35"/>
      <c r="CF238" s="3"/>
      <c r="CG238" s="3"/>
    </row>
    <row r="239" spans="2:85" ht="15" customHeight="1">
      <c r="B239" s="7"/>
      <c r="C239" s="53"/>
      <c r="D239" s="53" t="s">
        <v>187</v>
      </c>
      <c r="E239" s="53" t="s">
        <v>24</v>
      </c>
      <c r="F239" s="52" t="str">
        <f>IF(H236&lt;&gt;"",VLOOKUP(H236,'Team Setup'!$B$5:$C$63,2,FALSE),"")</f>
        <v/>
      </c>
      <c r="G239" s="53"/>
      <c r="H239" s="160"/>
      <c r="I239" s="160"/>
      <c r="J239" s="160"/>
      <c r="K239" s="161"/>
      <c r="L239" s="160"/>
      <c r="M239" s="160"/>
      <c r="N239" s="160"/>
      <c r="O239" s="160"/>
      <c r="P239" s="160"/>
      <c r="R239" s="158"/>
      <c r="S239" s="158"/>
      <c r="T239" s="158"/>
      <c r="U239" s="158"/>
      <c r="V239" s="158"/>
      <c r="W239" s="158"/>
      <c r="X239" s="158"/>
      <c r="Y239" s="158"/>
      <c r="Z239" s="158"/>
      <c r="AA239" s="57"/>
      <c r="AB239" s="57"/>
      <c r="AC239" s="57" t="s">
        <v>187</v>
      </c>
      <c r="AD239" s="57" t="s">
        <v>24</v>
      </c>
      <c r="AE239" s="58" t="str">
        <f>IF(Z236&lt;&gt;"",VLOOKUP(Z236,'Team Setup'!$B$5:$C$63,2,FALSE),"")</f>
        <v/>
      </c>
      <c r="AF239" s="9"/>
      <c r="AI239" s="35"/>
      <c r="CF239" s="3"/>
      <c r="CG239" s="3"/>
    </row>
    <row r="240" spans="2:85" ht="15" customHeight="1">
      <c r="B240" s="7"/>
      <c r="C240" s="53"/>
      <c r="D240" s="53"/>
      <c r="E240" s="53"/>
      <c r="F240" s="52" t="str">
        <f>IF(H236&lt;&gt;"",VLOOKUP(H236,'Team Setup'!$B$5:$D$63,3,FALSE),"")</f>
        <v/>
      </c>
      <c r="G240" s="53"/>
      <c r="H240" s="17"/>
      <c r="I240" s="17"/>
      <c r="J240" s="17"/>
      <c r="K240" s="170"/>
      <c r="L240" s="17"/>
      <c r="M240" s="17"/>
      <c r="N240" s="17" t="s">
        <v>186</v>
      </c>
      <c r="O240" s="17" t="s">
        <v>24</v>
      </c>
      <c r="P240" s="19" t="str">
        <f>IF(AND(P241&lt;&gt;"",R241&lt;&gt;""),IF(AND(V238&lt;&gt;"",X238&lt;&gt;"",V238&gt;X238),N241&amp;" win on Penalty Kick",IF(AND(V238&lt;&gt;"",X238&lt;&gt;"",V238&lt;X238),T241&amp;" win on Penalty Kick",IF(P241&gt;R241,N241&amp;" win",IF(R241&gt;P241,T241&amp;" win",IF(AND(P241=R241,L236&gt;V236),T241&amp;" win on away goals",IF(AND(P241=R241,L236&lt;V236+V237),N241&amp;" win on away goals","")))))),"")</f>
        <v/>
      </c>
      <c r="Q240" s="19"/>
      <c r="R240" s="19"/>
      <c r="S240" s="17"/>
      <c r="T240" s="17"/>
      <c r="U240" s="17"/>
      <c r="V240" s="17"/>
      <c r="W240" s="17"/>
      <c r="X240" s="17"/>
      <c r="Y240" s="17"/>
      <c r="Z240" s="17"/>
      <c r="AA240" s="57"/>
      <c r="AB240" s="57"/>
      <c r="AC240" s="57"/>
      <c r="AD240" s="57"/>
      <c r="AE240" s="58" t="str">
        <f>IF(Z236&lt;&gt;"",VLOOKUP(Z236,'Team Setup'!$B$5:$D$63,3,FALSE),"")</f>
        <v/>
      </c>
      <c r="AF240" s="9"/>
      <c r="AI240" s="35"/>
      <c r="CF240" s="37" t="s">
        <v>39</v>
      </c>
      <c r="CG240" s="37" t="s">
        <v>55</v>
      </c>
    </row>
    <row r="241" spans="2:85" ht="15" customHeight="1">
      <c r="B241" s="7"/>
      <c r="C241" s="53"/>
      <c r="D241" s="53"/>
      <c r="E241" s="53"/>
      <c r="F241" s="53"/>
      <c r="G241" s="53"/>
      <c r="H241" s="6"/>
      <c r="I241" s="6"/>
      <c r="J241" s="169"/>
      <c r="K241" s="20"/>
      <c r="L241" s="21"/>
      <c r="M241" s="169"/>
      <c r="N241" s="22" t="str">
        <f>H236</f>
        <v/>
      </c>
      <c r="O241" s="4"/>
      <c r="P241" s="23" t="str">
        <f>IF(AND(L236&lt;&gt;"",V236&lt;&gt;"",X236&lt;&gt;"",J236&lt;&gt;""),J236+V236+V237,"")</f>
        <v/>
      </c>
      <c r="Q241" s="24" t="s">
        <v>4</v>
      </c>
      <c r="R241" s="23" t="str">
        <f>IF(AND(L236&lt;&gt;"",V236&lt;&gt;"",X236&lt;&gt;"",J236&lt;&gt;""),L236+X236+X237,"")</f>
        <v/>
      </c>
      <c r="S241" s="4"/>
      <c r="T241" s="4" t="str">
        <f>Z236</f>
        <v/>
      </c>
      <c r="U241" s="6"/>
      <c r="V241" s="6"/>
      <c r="W241" s="6"/>
      <c r="X241" s="6"/>
      <c r="Y241" s="6"/>
      <c r="Z241" s="6"/>
      <c r="AA241" s="57"/>
      <c r="AB241" s="57"/>
      <c r="AC241" s="57"/>
      <c r="AD241" s="57"/>
      <c r="AE241" s="57"/>
      <c r="AF241" s="9"/>
      <c r="AI241" s="35"/>
      <c r="CF241" s="37" t="s">
        <v>48</v>
      </c>
      <c r="CG241" s="37" t="s">
        <v>56</v>
      </c>
    </row>
    <row r="242" spans="2:85" ht="15" customHeight="1">
      <c r="B242" s="7"/>
      <c r="G242" s="6"/>
      <c r="H242" s="6"/>
      <c r="I242" s="6"/>
      <c r="J242" s="6"/>
      <c r="K242" s="169"/>
      <c r="L242" s="6"/>
      <c r="M242" s="6"/>
      <c r="N242" s="6"/>
      <c r="O242" s="6"/>
      <c r="P242" s="6"/>
      <c r="Q242" s="6"/>
      <c r="R242" s="6"/>
      <c r="S242" s="6"/>
      <c r="T242" s="6"/>
      <c r="U242" s="6"/>
      <c r="V242" s="6"/>
      <c r="W242" s="6"/>
      <c r="X242" s="6"/>
      <c r="Y242" s="6"/>
      <c r="Z242" s="6"/>
      <c r="AA242" s="6"/>
      <c r="AD242" s="6"/>
      <c r="AE242" s="6"/>
      <c r="AF242" s="9"/>
      <c r="CF242" s="37" t="s">
        <v>40</v>
      </c>
      <c r="CG242" s="37" t="s">
        <v>58</v>
      </c>
    </row>
    <row r="243" spans="2:85" ht="15" customHeight="1">
      <c r="B243" s="7"/>
      <c r="C243" s="243" t="s">
        <v>440</v>
      </c>
      <c r="D243" s="243"/>
      <c r="E243" s="243"/>
      <c r="F243" s="243"/>
      <c r="G243" s="243"/>
      <c r="H243" s="243"/>
      <c r="I243" s="243"/>
      <c r="J243" s="243"/>
      <c r="K243" s="243"/>
      <c r="L243" s="243"/>
      <c r="M243" s="243"/>
      <c r="N243" s="243"/>
      <c r="O243" s="243"/>
      <c r="P243" s="243"/>
      <c r="R243" s="243" t="s">
        <v>439</v>
      </c>
      <c r="S243" s="243"/>
      <c r="T243" s="243"/>
      <c r="U243" s="243"/>
      <c r="V243" s="243"/>
      <c r="W243" s="243"/>
      <c r="X243" s="243"/>
      <c r="Y243" s="243"/>
      <c r="Z243" s="243"/>
      <c r="AA243" s="243"/>
      <c r="AB243" s="243"/>
      <c r="AC243" s="243"/>
      <c r="AD243" s="243"/>
      <c r="AE243" s="243"/>
      <c r="AF243" s="9"/>
      <c r="AI243" s="35"/>
      <c r="CF243" s="3"/>
      <c r="CG243" s="3"/>
    </row>
    <row r="244" spans="2:85" ht="15" customHeight="1">
      <c r="B244" s="7"/>
      <c r="C244" s="5"/>
      <c r="D244" s="5"/>
      <c r="E244" s="5"/>
      <c r="F244" s="5"/>
      <c r="G244" s="5"/>
      <c r="H244" s="5"/>
      <c r="I244" s="5"/>
      <c r="J244" s="5"/>
      <c r="K244" s="28"/>
      <c r="L244" s="5"/>
      <c r="M244" s="5"/>
      <c r="N244" s="5"/>
      <c r="O244" s="5"/>
      <c r="P244" s="5"/>
      <c r="Q244" s="5"/>
      <c r="R244" s="5"/>
      <c r="S244" s="5"/>
      <c r="T244" s="29"/>
      <c r="U244" s="29"/>
      <c r="V244" s="29"/>
      <c r="W244" s="28"/>
      <c r="X244" s="29"/>
      <c r="Y244" s="29"/>
      <c r="Z244" s="29"/>
      <c r="AA244" s="5"/>
      <c r="AB244" s="5"/>
      <c r="AC244" s="5"/>
      <c r="AD244" s="5"/>
      <c r="AE244" s="5"/>
      <c r="AF244" s="9"/>
      <c r="AI244" s="35"/>
      <c r="CF244" s="3"/>
      <c r="CG244" s="3"/>
    </row>
    <row r="245" spans="2:85" ht="15" customHeight="1">
      <c r="B245" s="7"/>
      <c r="H245" s="2" t="s">
        <v>203</v>
      </c>
      <c r="J245" s="5"/>
      <c r="K245" s="28"/>
      <c r="L245" s="5"/>
      <c r="M245" s="5"/>
      <c r="N245" s="2" t="s">
        <v>204</v>
      </c>
      <c r="O245" s="5"/>
      <c r="P245" s="5"/>
      <c r="Q245" s="30"/>
      <c r="R245" s="5"/>
      <c r="S245" s="5"/>
      <c r="T245" s="2" t="s">
        <v>203</v>
      </c>
      <c r="V245" s="5"/>
      <c r="W245" s="28"/>
      <c r="X245" s="5"/>
      <c r="Y245" s="5"/>
      <c r="Z245" s="2" t="s">
        <v>204</v>
      </c>
      <c r="AA245" s="5"/>
      <c r="AB245" s="5"/>
      <c r="AC245" s="5"/>
      <c r="AD245" s="5"/>
      <c r="AE245" s="5"/>
      <c r="AF245" s="9"/>
      <c r="AI245" s="35"/>
      <c r="CF245" s="3"/>
      <c r="CG245" s="3"/>
    </row>
    <row r="246" spans="2:85" ht="15" customHeight="1">
      <c r="B246" s="7"/>
      <c r="C246" s="5"/>
      <c r="D246" s="5"/>
      <c r="E246" s="4" t="s">
        <v>197</v>
      </c>
      <c r="G246" s="5"/>
      <c r="H246" s="31"/>
      <c r="I246" s="32"/>
      <c r="J246" s="32"/>
      <c r="K246" s="33" t="s">
        <v>201</v>
      </c>
      <c r="L246" s="32"/>
      <c r="M246" s="32"/>
      <c r="N246" s="31"/>
      <c r="O246" s="5"/>
      <c r="P246" s="5"/>
      <c r="Q246" s="30"/>
      <c r="R246" s="5"/>
      <c r="S246" s="5"/>
      <c r="T246" s="29"/>
      <c r="U246" s="29"/>
      <c r="V246" s="29"/>
      <c r="X246" s="29"/>
      <c r="Y246" s="29"/>
      <c r="Z246" s="29"/>
      <c r="AA246" s="5"/>
      <c r="AB246" s="5"/>
      <c r="AC246" s="5"/>
      <c r="AD246" s="5"/>
      <c r="AE246" s="5"/>
      <c r="AF246" s="9"/>
      <c r="CF246" s="3"/>
      <c r="CG246" s="3"/>
    </row>
    <row r="247" spans="2:85" ht="15" customHeight="1">
      <c r="B247" s="7"/>
      <c r="C247" s="5"/>
      <c r="D247" s="5"/>
      <c r="E247" s="4" t="s">
        <v>198</v>
      </c>
      <c r="G247" s="5"/>
      <c r="H247" s="31"/>
      <c r="I247" s="32"/>
      <c r="J247" s="32"/>
      <c r="K247" s="33" t="s">
        <v>201</v>
      </c>
      <c r="L247" s="32"/>
      <c r="M247" s="32"/>
      <c r="N247" s="31"/>
      <c r="O247" s="5"/>
      <c r="P247" s="5"/>
      <c r="Q247" s="30"/>
      <c r="R247" s="5"/>
      <c r="S247" s="5"/>
      <c r="T247" s="31"/>
      <c r="U247" s="32"/>
      <c r="V247" s="32"/>
      <c r="W247" s="32"/>
      <c r="X247" s="33" t="s">
        <v>201</v>
      </c>
      <c r="Y247" s="32"/>
      <c r="Z247" s="31"/>
      <c r="AA247" s="32"/>
      <c r="AB247" s="32"/>
      <c r="AC247" s="32"/>
      <c r="AD247" s="5"/>
      <c r="AE247" s="4" t="s">
        <v>228</v>
      </c>
      <c r="AF247" s="9"/>
      <c r="AI247" s="35"/>
      <c r="CF247" s="3"/>
      <c r="CG247" s="3"/>
    </row>
    <row r="248" spans="2:85" ht="15" customHeight="1">
      <c r="B248" s="7"/>
      <c r="C248" s="5"/>
      <c r="D248" s="5"/>
      <c r="E248" s="4" t="s">
        <v>199</v>
      </c>
      <c r="G248" s="5"/>
      <c r="H248" s="31"/>
      <c r="I248" s="32"/>
      <c r="J248" s="32"/>
      <c r="K248" s="33" t="s">
        <v>201</v>
      </c>
      <c r="L248" s="32"/>
      <c r="M248" s="32"/>
      <c r="N248" s="31"/>
      <c r="O248" s="5"/>
      <c r="P248" s="5"/>
      <c r="Q248" s="30"/>
      <c r="R248" s="5"/>
      <c r="S248" s="5"/>
      <c r="T248" s="31"/>
      <c r="U248" s="32"/>
      <c r="V248" s="32"/>
      <c r="W248" s="32"/>
      <c r="X248" s="33" t="s">
        <v>201</v>
      </c>
      <c r="Y248" s="32"/>
      <c r="Z248" s="31"/>
      <c r="AA248" s="32"/>
      <c r="AB248" s="32"/>
      <c r="AC248" s="32"/>
      <c r="AD248" s="5"/>
      <c r="AE248" s="4" t="s">
        <v>229</v>
      </c>
      <c r="AF248" s="9"/>
      <c r="AI248" s="35"/>
      <c r="CF248" s="3"/>
      <c r="CG248" s="3"/>
    </row>
    <row r="249" spans="2:85" ht="15" customHeight="1">
      <c r="B249" s="7"/>
      <c r="C249" s="5"/>
      <c r="D249" s="5"/>
      <c r="E249" s="4" t="s">
        <v>200</v>
      </c>
      <c r="G249" s="5"/>
      <c r="H249" s="31"/>
      <c r="I249" s="32"/>
      <c r="J249" s="32"/>
      <c r="K249" s="33" t="s">
        <v>201</v>
      </c>
      <c r="L249" s="32"/>
      <c r="M249" s="32"/>
      <c r="N249" s="31"/>
      <c r="O249" s="5"/>
      <c r="P249" s="5"/>
      <c r="Q249" s="30"/>
      <c r="R249" s="5"/>
      <c r="S249" s="5"/>
      <c r="T249" s="5"/>
      <c r="U249" s="5"/>
      <c r="V249" s="5"/>
      <c r="W249" s="28"/>
      <c r="X249" s="5"/>
      <c r="Y249" s="5"/>
      <c r="Z249" s="5"/>
      <c r="AA249" s="5"/>
      <c r="AB249" s="5"/>
      <c r="AC249" s="5"/>
      <c r="AD249" s="5"/>
      <c r="AE249" s="5"/>
      <c r="AF249" s="9"/>
      <c r="AI249" s="35"/>
      <c r="CF249" s="3"/>
      <c r="CG249" s="3"/>
    </row>
    <row r="250" spans="2:85" ht="15" customHeight="1">
      <c r="B250" s="7"/>
      <c r="C250" s="5"/>
      <c r="D250" s="5"/>
      <c r="E250" s="5"/>
      <c r="G250" s="5"/>
      <c r="H250" s="5"/>
      <c r="I250" s="5"/>
      <c r="J250" s="5"/>
      <c r="K250" s="33"/>
      <c r="L250" s="5"/>
      <c r="M250" s="5"/>
      <c r="N250" s="5"/>
      <c r="O250" s="5"/>
      <c r="P250" s="5"/>
      <c r="Q250" s="30"/>
      <c r="R250" s="5"/>
      <c r="S250" s="5"/>
      <c r="T250" s="6"/>
      <c r="U250" s="6"/>
      <c r="V250" s="6"/>
      <c r="W250" s="6"/>
      <c r="X250" s="6"/>
      <c r="Y250" s="5"/>
      <c r="Z250" s="5"/>
      <c r="AA250" s="5"/>
      <c r="AB250" s="5"/>
      <c r="AC250" s="5"/>
      <c r="AD250" s="5"/>
      <c r="AE250" s="5"/>
      <c r="AF250" s="9"/>
      <c r="AI250" s="35"/>
      <c r="CF250" s="3"/>
      <c r="CG250" s="3"/>
    </row>
    <row r="251" spans="2:85" ht="15" customHeight="1">
      <c r="B251" s="7"/>
      <c r="C251" s="5"/>
      <c r="D251" s="5"/>
      <c r="E251" s="34" t="s">
        <v>302</v>
      </c>
      <c r="G251" s="32" t="s">
        <v>24</v>
      </c>
      <c r="H251" s="35" t="str">
        <f>IF(AND(P178&lt;&gt;"",R178&lt;&gt;""),IF(AND(V175&lt;&gt;"",X175&lt;&gt;"",V175&gt;X175),N178,IF(AND(V175&lt;&gt;"",X175&lt;&gt;"",V175&lt;X175),T178,IF(P178&gt;R178,N178,IF(R178&gt;P178,T178,IF(AND(P178=R178,L173&gt;V173),T178,IF(AND(P178=R178,L173&lt;V173+V174),N178,"")))))),"")</f>
        <v/>
      </c>
      <c r="I251" s="6"/>
      <c r="J251" s="5"/>
      <c r="K251" s="169"/>
      <c r="L251" s="6"/>
      <c r="M251" s="5"/>
      <c r="N251" s="5"/>
      <c r="O251" s="5"/>
      <c r="P251" s="5"/>
      <c r="Q251" s="30"/>
      <c r="R251" s="5"/>
      <c r="S251" s="5"/>
      <c r="T251" s="6" t="s">
        <v>310</v>
      </c>
      <c r="U251" s="6"/>
      <c r="V251" s="6" t="s">
        <v>24</v>
      </c>
      <c r="W251" s="35"/>
      <c r="X251" s="35"/>
      <c r="Y251" s="35"/>
      <c r="Z251" s="35" t="str">
        <f>IF(AND(P270&lt;&gt;"",R270&lt;&gt;""),IF(AND(V267&lt;&gt;"",X267&lt;&gt;"",V267&gt;X267),N270,IF(AND(V267&lt;&gt;"",X267&lt;&gt;"",V267&lt;X267),T270,IF(P270&gt;R270,N270,IF(R270&gt;P270,T270,IF(AND(P270=R270,L265&gt;V265),T270,IF(AND(P270=R270,L265&lt;V265+V266),N270,"")))))),"")</f>
        <v/>
      </c>
      <c r="AA251" s="5"/>
      <c r="AB251" s="5"/>
      <c r="AC251" s="5"/>
      <c r="AD251" s="5"/>
      <c r="AE251" s="5"/>
      <c r="AF251" s="9"/>
      <c r="AI251" s="35"/>
      <c r="CF251" s="3"/>
      <c r="CG251" s="3"/>
    </row>
    <row r="252" spans="2:85" ht="15" customHeight="1">
      <c r="B252" s="7"/>
      <c r="C252" s="5"/>
      <c r="D252" s="5"/>
      <c r="E252" s="34" t="s">
        <v>303</v>
      </c>
      <c r="G252" s="32" t="s">
        <v>24</v>
      </c>
      <c r="H252" s="35" t="str">
        <f>IF(AND(P187&lt;&gt;"",R187&lt;&gt;""),IF(AND(V184&lt;&gt;"",X184&lt;&gt;"",V184&gt;X184),N187,IF(AND(V184&lt;&gt;"",X184&lt;&gt;"",V184&lt;X184),T187,IF(P187&gt;R187,N187,IF(R187&gt;P187,T187,IF(AND(P187=R187,L182&gt;V182),T187,IF(AND(P187=R187,L182&lt;V182+V183),N187,"")))))),"")</f>
        <v/>
      </c>
      <c r="I252" s="6"/>
      <c r="J252" s="5"/>
      <c r="K252" s="169"/>
      <c r="L252" s="6"/>
      <c r="M252" s="5"/>
      <c r="N252" s="5"/>
      <c r="O252" s="5"/>
      <c r="P252" s="5"/>
      <c r="Q252" s="30"/>
      <c r="R252" s="5"/>
      <c r="S252" s="5"/>
      <c r="T252" s="6" t="s">
        <v>311</v>
      </c>
      <c r="U252" s="6"/>
      <c r="V252" s="6" t="s">
        <v>24</v>
      </c>
      <c r="W252" s="35"/>
      <c r="X252" s="35"/>
      <c r="Y252" s="35"/>
      <c r="Z252" s="35" t="str">
        <f>IF(AND(P279&lt;&gt;"",R279&lt;&gt;""),IF(AND(V276&lt;&gt;"",X276&lt;&gt;"",V276&gt;X276),N279,IF(AND(V276&lt;&gt;"",X276&lt;&gt;"",V276&lt;X276),T279,IF(P279&gt;R279,N279,IF(R279&gt;P279,T279,IF(AND(P279=R279,L274&gt;V274),T279,IF(AND(P279=R279,L274&lt;V274+V275),N279,"")))))),"")</f>
        <v/>
      </c>
      <c r="AA252" s="5"/>
      <c r="AB252" s="5"/>
      <c r="AC252" s="5"/>
      <c r="AD252" s="5"/>
      <c r="AE252" s="5"/>
      <c r="AF252" s="9"/>
      <c r="AI252" s="35"/>
      <c r="CF252" s="3"/>
      <c r="CG252" s="3"/>
    </row>
    <row r="253" spans="2:85" ht="15" customHeight="1">
      <c r="B253" s="7"/>
      <c r="C253" s="5"/>
      <c r="D253" s="5"/>
      <c r="E253" s="34" t="s">
        <v>304</v>
      </c>
      <c r="G253" s="32" t="s">
        <v>24</v>
      </c>
      <c r="H253" s="35" t="str">
        <f>IF(AND(P196&lt;&gt;"",R196&lt;&gt;""),IF(AND(V193&lt;&gt;"",X193&lt;&gt;"",V193&gt;X193),N196,IF(AND(V193&lt;&gt;"",X193&lt;&gt;"",V193&lt;X193),T196,IF(P196&gt;R196,N196,IF(R196&gt;P196,T196,IF(AND(P196=R196,L191&gt;V191),T196,IF(AND(P196=R196,L191&lt;V191+V192),N196,"")))))),"")</f>
        <v/>
      </c>
      <c r="I253" s="6"/>
      <c r="J253" s="5"/>
      <c r="K253" s="169"/>
      <c r="L253" s="6"/>
      <c r="M253" s="5"/>
      <c r="N253" s="5"/>
      <c r="O253" s="5"/>
      <c r="P253" s="5"/>
      <c r="Q253" s="30"/>
      <c r="R253" s="5"/>
      <c r="S253" s="5"/>
      <c r="T253" s="6" t="s">
        <v>312</v>
      </c>
      <c r="U253" s="6"/>
      <c r="V253" s="6" t="s">
        <v>24</v>
      </c>
      <c r="W253" s="35"/>
      <c r="X253" s="35"/>
      <c r="Y253" s="35"/>
      <c r="Z253" s="35" t="str">
        <f>IF(AND(P288&lt;&gt;"",R288&lt;&gt;""),IF(AND(V285&lt;&gt;"",X285&lt;&gt;"",V285&gt;X285),N288,IF(AND(V285&lt;&gt;"",X285&lt;&gt;"",V285&lt;X285),T288,IF(P288&gt;R288,N288,IF(R288&gt;P288,T288,IF(AND(P288=R288,L283&gt;V283),T288,IF(AND(P288=R288,L283&lt;V283+V284),N288,"")))))),"")</f>
        <v/>
      </c>
      <c r="AA253" s="5"/>
      <c r="AB253" s="5"/>
      <c r="AC253" s="5"/>
      <c r="AD253" s="5"/>
      <c r="AE253" s="5"/>
      <c r="AF253" s="9"/>
      <c r="AI253" s="35"/>
      <c r="CF253" s="3"/>
      <c r="CG253" s="3"/>
    </row>
    <row r="254" spans="2:85" ht="15" customHeight="1">
      <c r="B254" s="7"/>
      <c r="C254" s="5"/>
      <c r="D254" s="5"/>
      <c r="E254" s="34" t="s">
        <v>305</v>
      </c>
      <c r="G254" s="32" t="s">
        <v>24</v>
      </c>
      <c r="H254" s="35" t="str">
        <f>IF(AND(P205&lt;&gt;"",R205&lt;&gt;""),IF(AND(V202&lt;&gt;"",X202&lt;&gt;"",V202&gt;X202),N205,IF(AND(V202&lt;&gt;"",X202&lt;&gt;"",V202&lt;X202),T205,IF(P205&gt;R205,N205,IF(R205&gt;P205,T205,IF(AND(P205=R205,L200&gt;V200),T205,IF(AND(P205=R205,L200&lt;V200+V201),N205,"")))))),"")</f>
        <v/>
      </c>
      <c r="I254" s="6"/>
      <c r="J254" s="5"/>
      <c r="K254" s="169"/>
      <c r="L254" s="6"/>
      <c r="M254" s="5"/>
      <c r="N254" s="5"/>
      <c r="O254" s="5"/>
      <c r="P254" s="5"/>
      <c r="Q254" s="30"/>
      <c r="R254" s="5"/>
      <c r="S254" s="5"/>
      <c r="T254" s="6" t="s">
        <v>313</v>
      </c>
      <c r="U254" s="6"/>
      <c r="V254" s="6" t="s">
        <v>24</v>
      </c>
      <c r="W254" s="35"/>
      <c r="X254" s="35"/>
      <c r="Y254" s="35"/>
      <c r="Z254" s="35" t="str">
        <f>IF(AND(P297&lt;&gt;"",R297&lt;&gt;""),IF(AND(V294&lt;&gt;"",X294&lt;&gt;"",V294&gt;X294),N297,IF(AND(V294&lt;&gt;"",X294&lt;&gt;"",V294&lt;X294),T297,IF(P297&gt;R297,N297,IF(R297&gt;P297,T297,IF(AND(P297=R297,L292&gt;V292),T297,IF(AND(P297=R297,L292&lt;V292+V293),N297,"")))))),"")</f>
        <v/>
      </c>
      <c r="AA254" s="5"/>
      <c r="AB254" s="5"/>
      <c r="AC254" s="5"/>
      <c r="AD254" s="5"/>
      <c r="AE254" s="5"/>
      <c r="AF254" s="9"/>
      <c r="AI254" s="35"/>
      <c r="CF254" s="3"/>
      <c r="CG254" s="3"/>
    </row>
    <row r="255" spans="2:85" ht="15" customHeight="1">
      <c r="B255" s="7"/>
      <c r="C255" s="5"/>
      <c r="E255" s="34" t="s">
        <v>306</v>
      </c>
      <c r="G255" s="32" t="s">
        <v>24</v>
      </c>
      <c r="H255" s="35" t="str">
        <f>IF(AND(P214&lt;&gt;"",R214&lt;&gt;""),IF(AND(V211&lt;&gt;"",X211&lt;&gt;"",V211&gt;X211),N214,IF(AND(V211&lt;&gt;"",X211&lt;&gt;"",V211&lt;X211),T214,IF(P214&gt;R214,N214,IF(R214&gt;P214,T214,IF(AND(P214=R214,L209&gt;V209),T214,IF(AND(P214=R214,L209&lt;V209+V210),N214,"")))))),"")</f>
        <v/>
      </c>
      <c r="I255" s="6"/>
      <c r="J255" s="5"/>
      <c r="K255" s="169"/>
      <c r="L255" s="6"/>
      <c r="M255" s="5"/>
      <c r="N255" s="5"/>
      <c r="O255" s="5"/>
      <c r="P255" s="5"/>
      <c r="Q255" s="30"/>
      <c r="R255" s="5"/>
      <c r="S255" s="5"/>
      <c r="T255" s="5"/>
      <c r="U255" s="5"/>
      <c r="V255" s="5"/>
      <c r="W255" s="28"/>
      <c r="X255" s="5"/>
      <c r="Y255" s="5"/>
      <c r="Z255" s="5"/>
      <c r="AA255" s="5"/>
      <c r="AB255" s="5"/>
      <c r="AC255" s="5"/>
      <c r="AD255" s="5"/>
      <c r="AE255" s="5"/>
      <c r="AF255" s="9"/>
      <c r="AI255" s="35"/>
      <c r="CF255" s="3"/>
      <c r="CG255" s="3"/>
    </row>
    <row r="256" spans="2:85" ht="15" customHeight="1">
      <c r="B256" s="7"/>
      <c r="E256" s="34" t="s">
        <v>307</v>
      </c>
      <c r="G256" s="32" t="s">
        <v>24</v>
      </c>
      <c r="H256" s="35" t="str">
        <f>IF(AND(P223&lt;&gt;"",R223&lt;&gt;""),IF(AND(V220&lt;&gt;"",X220&lt;&gt;"",V220&gt;X220),N223,IF(AND(V220&lt;&gt;"",X220&lt;&gt;"",V220&lt;X220),T223,IF(P223&gt;R223,N223,IF(R223&gt;P223,T223,IF(AND(P223=R223,L218&gt;V218),T223,IF(AND(P223=R223,L218&lt;V218+V219),N223,"")))))),"")</f>
        <v/>
      </c>
      <c r="I256" s="6"/>
      <c r="J256" s="6"/>
      <c r="K256" s="169"/>
      <c r="L256" s="6"/>
      <c r="M256" s="6"/>
      <c r="N256" s="6"/>
      <c r="O256" s="6"/>
      <c r="P256" s="6"/>
      <c r="Q256" s="16"/>
      <c r="R256" s="6"/>
      <c r="S256" s="6"/>
      <c r="T256" s="6"/>
      <c r="U256" s="6"/>
      <c r="V256" s="6"/>
      <c r="W256" s="6"/>
      <c r="X256" s="6"/>
      <c r="Y256" s="6"/>
      <c r="Z256" s="6"/>
      <c r="AA256" s="6"/>
      <c r="AB256" s="4"/>
      <c r="AC256" s="4"/>
      <c r="AD256" s="4"/>
      <c r="AE256" s="4"/>
      <c r="AF256" s="9"/>
      <c r="AI256" s="35"/>
      <c r="CF256" s="3"/>
      <c r="CG256" s="3"/>
    </row>
    <row r="257" spans="2:108" ht="15" customHeight="1">
      <c r="B257" s="7"/>
      <c r="E257" s="34" t="s">
        <v>308</v>
      </c>
      <c r="G257" s="32" t="s">
        <v>24</v>
      </c>
      <c r="H257" s="35" t="str">
        <f>IF(AND(P232&lt;&gt;"",R232&lt;&gt;""),IF(AND(V229&lt;&gt;"",X229&lt;&gt;"",V229&gt;X229),N232,IF(AND(V229&lt;&gt;"",X229&lt;&gt;"",V229&lt;X229),T232,IF(P232&gt;R232,N232,IF(R232&gt;P232,T232,IF(AND(P232=R232,L227&gt;V227),T232,IF(AND(P232=R232,L227&lt;V227+V228),N232,"")))))),"")</f>
        <v/>
      </c>
      <c r="I257" s="6"/>
      <c r="J257" s="169"/>
      <c r="K257" s="169"/>
      <c r="L257" s="6"/>
      <c r="M257" s="169"/>
      <c r="N257" s="169"/>
      <c r="O257" s="6"/>
      <c r="P257" s="6"/>
      <c r="Q257" s="16"/>
      <c r="R257" s="6"/>
      <c r="S257" s="6"/>
      <c r="T257" s="26"/>
      <c r="U257" s="26"/>
      <c r="V257" s="6"/>
      <c r="W257" s="6"/>
      <c r="X257" s="6"/>
      <c r="Y257" s="6"/>
      <c r="Z257" s="6"/>
      <c r="AA257" s="6"/>
      <c r="AB257" s="4"/>
      <c r="AC257" s="4"/>
      <c r="AD257" s="4"/>
      <c r="AE257" s="4"/>
      <c r="AF257" s="9"/>
      <c r="AI257" s="35"/>
      <c r="CF257" s="3"/>
      <c r="CG257" s="3"/>
    </row>
    <row r="258" spans="2:108" ht="15" customHeight="1">
      <c r="B258" s="7"/>
      <c r="E258" s="34" t="s">
        <v>309</v>
      </c>
      <c r="G258" s="32" t="s">
        <v>24</v>
      </c>
      <c r="H258" s="35" t="str">
        <f>IF(AND(P241&lt;&gt;"",R241&lt;&gt;""),IF(AND(V238&lt;&gt;"",X238&lt;&gt;"",V238&gt;X238),N241,IF(AND(V238&lt;&gt;"",X238&lt;&gt;"",V238&lt;X238),T241,IF(P241&gt;R241,N241,IF(R241&gt;P241,T241,IF(AND(P241=R241,L236&gt;V236),T241,IF(AND(P241=R241,L236&lt;V236+V237),N241,"")))))),"")</f>
        <v/>
      </c>
      <c r="I258" s="6"/>
      <c r="J258" s="169"/>
      <c r="K258" s="169"/>
      <c r="L258" s="6"/>
      <c r="M258" s="169"/>
      <c r="N258" s="169"/>
      <c r="O258" s="37"/>
      <c r="P258" s="6"/>
      <c r="Q258" s="16"/>
      <c r="R258" s="6"/>
      <c r="S258" s="6"/>
      <c r="T258" s="6"/>
      <c r="U258" s="6"/>
      <c r="V258" s="6"/>
      <c r="W258" s="6"/>
      <c r="X258" s="6"/>
      <c r="Y258" s="6"/>
      <c r="Z258" s="6"/>
      <c r="AA258" s="6"/>
      <c r="AB258" s="4"/>
      <c r="AC258" s="4"/>
      <c r="AD258" s="4"/>
      <c r="AE258" s="4"/>
      <c r="AF258" s="9"/>
      <c r="AI258" s="35"/>
      <c r="CF258" s="3"/>
      <c r="CG258" s="3"/>
    </row>
    <row r="259" spans="2:108" ht="15" customHeight="1">
      <c r="B259" s="7"/>
      <c r="G259" s="6"/>
      <c r="H259" s="6"/>
      <c r="I259" s="6"/>
      <c r="J259" s="253"/>
      <c r="K259" s="253"/>
      <c r="L259" s="253"/>
      <c r="M259" s="253"/>
      <c r="N259" s="253"/>
      <c r="O259" s="37"/>
      <c r="P259" s="6"/>
      <c r="Q259" s="6"/>
      <c r="R259" s="6"/>
      <c r="S259" s="6"/>
      <c r="T259" s="6"/>
      <c r="U259" s="6"/>
      <c r="V259" s="6"/>
      <c r="W259" s="6"/>
      <c r="X259" s="6"/>
      <c r="Y259" s="6"/>
      <c r="Z259" s="6"/>
      <c r="AA259" s="6"/>
      <c r="AB259" s="4"/>
      <c r="AC259" s="4"/>
      <c r="AD259" s="38"/>
      <c r="AE259" s="38"/>
      <c r="AF259" s="9"/>
      <c r="AI259" s="35"/>
      <c r="CF259" s="3"/>
      <c r="CG259" s="3"/>
    </row>
    <row r="260" spans="2:108" ht="15" customHeight="1">
      <c r="B260" s="7"/>
      <c r="G260" s="6"/>
      <c r="H260" s="6"/>
      <c r="I260" s="6"/>
      <c r="J260" s="6"/>
      <c r="K260" s="169"/>
      <c r="L260" s="6"/>
      <c r="M260" s="6"/>
      <c r="N260" s="6"/>
      <c r="O260" s="6"/>
      <c r="P260" s="6"/>
      <c r="Q260" s="6"/>
      <c r="R260" s="6"/>
      <c r="S260" s="6"/>
      <c r="T260" s="6"/>
      <c r="U260" s="6"/>
      <c r="V260" s="6"/>
      <c r="W260" s="6"/>
      <c r="X260" s="6"/>
      <c r="Y260" s="6"/>
      <c r="Z260" s="6"/>
      <c r="AA260" s="6"/>
      <c r="AD260" s="6"/>
      <c r="AE260" s="6"/>
      <c r="AF260" s="9"/>
      <c r="AI260" s="35"/>
      <c r="CF260" s="3"/>
      <c r="CG260" s="3"/>
    </row>
    <row r="261" spans="2:108" ht="15" customHeight="1">
      <c r="B261" s="246" t="s">
        <v>250</v>
      </c>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c r="AB261" s="247"/>
      <c r="AC261" s="247"/>
      <c r="AD261" s="247"/>
      <c r="AE261" s="247"/>
      <c r="AF261" s="248"/>
      <c r="AI261" s="35"/>
      <c r="DC261" s="3"/>
      <c r="DD261" s="37"/>
    </row>
    <row r="262" spans="2:108" ht="15" customHeight="1">
      <c r="B262" s="7"/>
      <c r="G262" s="6"/>
      <c r="H262" s="6"/>
      <c r="I262" s="6"/>
      <c r="J262" s="6"/>
      <c r="K262" s="8"/>
      <c r="L262" s="6"/>
      <c r="M262" s="6"/>
      <c r="N262" s="6"/>
      <c r="O262" s="6"/>
      <c r="P262" s="6"/>
      <c r="Q262" s="6"/>
      <c r="R262" s="6"/>
      <c r="S262" s="6"/>
      <c r="T262" s="6"/>
      <c r="U262" s="6"/>
      <c r="V262" s="6"/>
      <c r="W262" s="6"/>
      <c r="X262" s="6"/>
      <c r="Y262" s="6"/>
      <c r="Z262" s="6"/>
      <c r="AA262" s="6"/>
      <c r="AD262" s="6"/>
      <c r="AE262" s="6"/>
      <c r="AF262" s="9"/>
      <c r="AI262" s="35"/>
      <c r="DC262" s="3"/>
      <c r="DD262" s="37"/>
    </row>
    <row r="263" spans="2:108" ht="15" customHeight="1">
      <c r="B263" s="7"/>
      <c r="C263" s="234" t="s">
        <v>185</v>
      </c>
      <c r="D263" s="234"/>
      <c r="E263" s="234"/>
      <c r="F263" s="234"/>
      <c r="G263" s="234"/>
      <c r="H263" s="234"/>
      <c r="I263" s="234"/>
      <c r="J263" s="234"/>
      <c r="K263" s="234"/>
      <c r="L263" s="234"/>
      <c r="M263" s="234"/>
      <c r="N263" s="234"/>
      <c r="O263" s="234"/>
      <c r="P263" s="234"/>
      <c r="Q263" s="6"/>
      <c r="R263" s="235" t="s">
        <v>184</v>
      </c>
      <c r="S263" s="235"/>
      <c r="T263" s="235"/>
      <c r="U263" s="235"/>
      <c r="V263" s="235"/>
      <c r="W263" s="235"/>
      <c r="X263" s="235"/>
      <c r="Y263" s="235"/>
      <c r="Z263" s="235"/>
      <c r="AA263" s="235"/>
      <c r="AB263" s="235"/>
      <c r="AC263" s="235"/>
      <c r="AD263" s="235"/>
      <c r="AE263" s="235"/>
      <c r="AF263" s="9"/>
      <c r="AI263" s="35"/>
      <c r="DC263" s="3"/>
      <c r="DD263" s="37"/>
    </row>
    <row r="264" spans="2:108" ht="15" customHeight="1">
      <c r="B264" s="7"/>
      <c r="C264" s="51"/>
      <c r="D264" s="51"/>
      <c r="E264" s="51"/>
      <c r="F264" s="51"/>
      <c r="G264" s="51"/>
      <c r="H264" s="51"/>
      <c r="I264" s="51"/>
      <c r="J264" s="51"/>
      <c r="K264" s="51"/>
      <c r="L264" s="51"/>
      <c r="M264" s="51"/>
      <c r="N264" s="51"/>
      <c r="O264" s="51"/>
      <c r="P264" s="51"/>
      <c r="Q264" s="4"/>
      <c r="R264" s="57"/>
      <c r="S264" s="57"/>
      <c r="T264" s="57"/>
      <c r="U264" s="57"/>
      <c r="V264" s="57"/>
      <c r="W264" s="57"/>
      <c r="X264" s="57"/>
      <c r="Y264" s="57"/>
      <c r="Z264" s="57"/>
      <c r="AA264" s="57"/>
      <c r="AB264" s="57"/>
      <c r="AC264" s="57"/>
      <c r="AD264" s="57"/>
      <c r="AE264" s="57"/>
      <c r="AF264" s="9"/>
      <c r="AI264" s="35"/>
      <c r="DC264" s="3"/>
      <c r="DD264" s="37"/>
    </row>
    <row r="265" spans="2:108" ht="15" customHeight="1">
      <c r="B265" s="7"/>
      <c r="C265" s="53"/>
      <c r="D265" s="53" t="s">
        <v>197</v>
      </c>
      <c r="E265" s="53"/>
      <c r="F265" s="54"/>
      <c r="G265" s="55"/>
      <c r="H265" s="68" t="str">
        <f>IF(H246&lt;&gt;"",H246,"")</f>
        <v/>
      </c>
      <c r="I265" s="53"/>
      <c r="J265" s="52"/>
      <c r="K265" s="52" t="s">
        <v>4</v>
      </c>
      <c r="L265" s="52"/>
      <c r="M265" s="53"/>
      <c r="N265" s="69" t="str">
        <f>Z265</f>
        <v/>
      </c>
      <c r="O265" s="53"/>
      <c r="P265" s="53"/>
      <c r="Q265" s="6"/>
      <c r="R265" s="57"/>
      <c r="S265" s="57"/>
      <c r="T265" s="66" t="str">
        <f>H265</f>
        <v/>
      </c>
      <c r="U265" s="57"/>
      <c r="V265" s="58"/>
      <c r="W265" s="58" t="s">
        <v>4</v>
      </c>
      <c r="X265" s="58"/>
      <c r="Y265" s="57"/>
      <c r="Z265" s="67" t="str">
        <f>IF(N246&lt;&gt;"",N246,"")</f>
        <v/>
      </c>
      <c r="AA265" s="57"/>
      <c r="AB265" s="57"/>
      <c r="AC265" s="57" t="str">
        <f>D265</f>
        <v>Quarter Final 1</v>
      </c>
      <c r="AD265" s="57"/>
      <c r="AE265" s="59"/>
      <c r="AF265" s="9"/>
      <c r="AI265" s="35"/>
      <c r="DC265" s="3"/>
      <c r="DD265" s="37"/>
    </row>
    <row r="266" spans="2:108" ht="15" customHeight="1">
      <c r="B266" s="7"/>
      <c r="C266" s="53"/>
      <c r="D266" s="53" t="s">
        <v>1</v>
      </c>
      <c r="E266" s="53" t="s">
        <v>24</v>
      </c>
      <c r="F266" s="56"/>
      <c r="G266" s="53"/>
      <c r="H266" s="53"/>
      <c r="I266" s="53"/>
      <c r="J266" s="53"/>
      <c r="K266" s="52"/>
      <c r="L266" s="53"/>
      <c r="M266" s="53"/>
      <c r="N266" s="53"/>
      <c r="O266" s="53"/>
      <c r="P266" s="53"/>
      <c r="Q266" s="6"/>
      <c r="R266" s="57"/>
      <c r="S266" s="57"/>
      <c r="T266" s="57"/>
      <c r="U266" s="162" t="s">
        <v>223</v>
      </c>
      <c r="V266" s="58"/>
      <c r="W266" s="162" t="s">
        <v>4</v>
      </c>
      <c r="X266" s="58"/>
      <c r="Y266" s="57"/>
      <c r="Z266" s="57"/>
      <c r="AA266" s="57"/>
      <c r="AB266" s="57"/>
      <c r="AC266" s="57" t="s">
        <v>1</v>
      </c>
      <c r="AD266" s="57" t="s">
        <v>24</v>
      </c>
      <c r="AE266" s="60"/>
      <c r="AF266" s="9"/>
      <c r="AI266" s="35"/>
      <c r="DC266" s="3"/>
      <c r="DD266" s="37"/>
    </row>
    <row r="267" spans="2:108" ht="15" customHeight="1">
      <c r="B267" s="7"/>
      <c r="C267" s="53"/>
      <c r="D267" s="53" t="s">
        <v>2</v>
      </c>
      <c r="E267" s="53" t="s">
        <v>24</v>
      </c>
      <c r="F267" s="53"/>
      <c r="G267" s="53"/>
      <c r="H267" s="160"/>
      <c r="I267" s="160"/>
      <c r="J267" s="160"/>
      <c r="K267" s="161"/>
      <c r="L267" s="160"/>
      <c r="M267" s="160"/>
      <c r="N267" s="160"/>
      <c r="O267" s="160"/>
      <c r="P267" s="160"/>
      <c r="R267" s="158"/>
      <c r="S267" s="158"/>
      <c r="T267" s="158"/>
      <c r="U267" s="163" t="s">
        <v>222</v>
      </c>
      <c r="V267" s="159"/>
      <c r="W267" s="162" t="s">
        <v>4</v>
      </c>
      <c r="X267" s="159"/>
      <c r="Y267" s="158"/>
      <c r="Z267" s="158"/>
      <c r="AA267" s="57"/>
      <c r="AB267" s="57"/>
      <c r="AC267" s="57" t="s">
        <v>2</v>
      </c>
      <c r="AD267" s="57" t="s">
        <v>24</v>
      </c>
      <c r="AE267" s="58"/>
      <c r="AF267" s="9"/>
      <c r="AI267" s="35"/>
      <c r="DC267" s="3"/>
      <c r="DD267" s="37"/>
    </row>
    <row r="268" spans="2:108" ht="15" customHeight="1">
      <c r="B268" s="7"/>
      <c r="C268" s="53"/>
      <c r="D268" s="53" t="s">
        <v>187</v>
      </c>
      <c r="E268" s="53" t="s">
        <v>24</v>
      </c>
      <c r="F268" s="52" t="str">
        <f>IF(H265&lt;&gt;"",VLOOKUP(H265,'Team Setup'!$B$5:$C$63,2,FALSE),"")</f>
        <v/>
      </c>
      <c r="G268" s="53"/>
      <c r="H268" s="160"/>
      <c r="I268" s="160"/>
      <c r="J268" s="160"/>
      <c r="K268" s="161"/>
      <c r="L268" s="160"/>
      <c r="M268" s="160"/>
      <c r="N268" s="160"/>
      <c r="O268" s="160"/>
      <c r="P268" s="160"/>
      <c r="R268" s="158"/>
      <c r="S268" s="158"/>
      <c r="T268" s="158"/>
      <c r="U268" s="158"/>
      <c r="V268" s="158"/>
      <c r="W268" s="158"/>
      <c r="X268" s="158"/>
      <c r="Y268" s="158"/>
      <c r="Z268" s="158"/>
      <c r="AA268" s="57"/>
      <c r="AB268" s="57"/>
      <c r="AC268" s="57" t="s">
        <v>187</v>
      </c>
      <c r="AD268" s="57" t="s">
        <v>24</v>
      </c>
      <c r="AE268" s="58" t="str">
        <f>IF(Z265&lt;&gt;"",VLOOKUP(Z265,'Team Setup'!$B$5:$C$63,2,FALSE),"")</f>
        <v/>
      </c>
      <c r="AF268" s="9"/>
      <c r="AI268" s="35"/>
      <c r="DC268" s="3"/>
      <c r="DD268" s="37"/>
    </row>
    <row r="269" spans="2:108" ht="15" customHeight="1">
      <c r="B269" s="7"/>
      <c r="C269" s="53"/>
      <c r="D269" s="53"/>
      <c r="E269" s="53"/>
      <c r="F269" s="52" t="str">
        <f>IF(H265&lt;&gt;"",VLOOKUP(H265,'Team Setup'!$B$5:$D$63,3,FALSE),"")</f>
        <v/>
      </c>
      <c r="G269" s="53"/>
      <c r="H269" s="17"/>
      <c r="I269" s="17"/>
      <c r="J269" s="17"/>
      <c r="K269" s="156"/>
      <c r="L269" s="17"/>
      <c r="M269" s="17"/>
      <c r="N269" s="17" t="s">
        <v>186</v>
      </c>
      <c r="O269" s="17" t="s">
        <v>24</v>
      </c>
      <c r="P269" s="19" t="str">
        <f>IF(AND(P270&lt;&gt;"",R270&lt;&gt;""),IF(AND(V267&lt;&gt;"",X267&lt;&gt;"",V267&gt;X267),N270&amp;" win on Penalty Kick",IF(AND(V267&lt;&gt;"",X267&lt;&gt;"",V267&lt;X267),T270&amp;" win on Penalty Kick",IF(P270&gt;R270,N270&amp;" win",IF(R270&gt;P270,T270&amp;" win",IF(AND(P270=R270,L265&gt;V265),T270&amp;" win on away goals",IF(AND(P270=R270,L265&lt;V265+V266),N270&amp;" win on away goals","")))))),"")</f>
        <v/>
      </c>
      <c r="Q269" s="19"/>
      <c r="R269" s="19"/>
      <c r="S269" s="17"/>
      <c r="T269" s="17"/>
      <c r="U269" s="17"/>
      <c r="V269" s="17"/>
      <c r="W269" s="17"/>
      <c r="X269" s="17"/>
      <c r="Y269" s="17"/>
      <c r="Z269" s="17"/>
      <c r="AA269" s="57"/>
      <c r="AB269" s="57"/>
      <c r="AC269" s="57"/>
      <c r="AD269" s="57"/>
      <c r="AE269" s="58" t="str">
        <f>IF(Z265&lt;&gt;"",VLOOKUP(Z265,'Team Setup'!$B$5:$D$63,3,FALSE),"")</f>
        <v/>
      </c>
      <c r="AF269" s="9"/>
      <c r="AI269" s="35"/>
      <c r="DC269" s="3"/>
      <c r="DD269" s="37"/>
    </row>
    <row r="270" spans="2:108" ht="15" customHeight="1">
      <c r="B270" s="7"/>
      <c r="C270" s="53"/>
      <c r="D270" s="53"/>
      <c r="E270" s="53"/>
      <c r="F270" s="53"/>
      <c r="G270" s="53"/>
      <c r="H270" s="6"/>
      <c r="I270" s="6"/>
      <c r="J270" s="157"/>
      <c r="K270" s="20"/>
      <c r="L270" s="21"/>
      <c r="M270" s="157"/>
      <c r="N270" s="22" t="str">
        <f>H265</f>
        <v/>
      </c>
      <c r="O270" s="4"/>
      <c r="P270" s="23" t="str">
        <f>IF(AND(L265&lt;&gt;"",V265&lt;&gt;"",X265&lt;&gt;"",J265&lt;&gt;""),J265+V265+V266,"")</f>
        <v/>
      </c>
      <c r="Q270" s="24" t="s">
        <v>4</v>
      </c>
      <c r="R270" s="23" t="str">
        <f>IF(AND(L265&lt;&gt;"",V265&lt;&gt;"",X265&lt;&gt;"",J265&lt;&gt;""),L265+X265+X266,"")</f>
        <v/>
      </c>
      <c r="S270" s="4"/>
      <c r="T270" s="4" t="str">
        <f>Z265</f>
        <v/>
      </c>
      <c r="U270" s="6"/>
      <c r="V270" s="6"/>
      <c r="W270" s="6"/>
      <c r="X270" s="6"/>
      <c r="Y270" s="6"/>
      <c r="Z270" s="6"/>
      <c r="AA270" s="57"/>
      <c r="AB270" s="57"/>
      <c r="AC270" s="57"/>
      <c r="AD270" s="57"/>
      <c r="AE270" s="57"/>
      <c r="AF270" s="9"/>
      <c r="AI270" s="35"/>
      <c r="DC270" s="3"/>
      <c r="DD270" s="37"/>
    </row>
    <row r="271" spans="2:108" ht="15" customHeight="1">
      <c r="B271" s="7"/>
      <c r="G271" s="6"/>
      <c r="H271" s="6"/>
      <c r="I271" s="6"/>
      <c r="J271" s="6"/>
      <c r="K271" s="8"/>
      <c r="L271" s="6"/>
      <c r="M271" s="6"/>
      <c r="N271" s="6"/>
      <c r="O271" s="6"/>
      <c r="P271" s="6"/>
      <c r="Q271" s="6"/>
      <c r="R271" s="6"/>
      <c r="S271" s="6"/>
      <c r="T271" s="6"/>
      <c r="U271" s="6"/>
      <c r="V271" s="6"/>
      <c r="W271" s="6"/>
      <c r="X271" s="6"/>
      <c r="Y271" s="6"/>
      <c r="Z271" s="6"/>
      <c r="AA271" s="6"/>
      <c r="AD271" s="6"/>
      <c r="AE271" s="6"/>
      <c r="AF271" s="9"/>
      <c r="AI271" s="35"/>
      <c r="DC271" s="3"/>
      <c r="DD271" s="37"/>
    </row>
    <row r="272" spans="2:108" ht="15" customHeight="1">
      <c r="B272" s="7"/>
      <c r="C272" s="234" t="s">
        <v>185</v>
      </c>
      <c r="D272" s="234"/>
      <c r="E272" s="234"/>
      <c r="F272" s="234"/>
      <c r="G272" s="234"/>
      <c r="H272" s="234"/>
      <c r="I272" s="234"/>
      <c r="J272" s="234"/>
      <c r="K272" s="234"/>
      <c r="L272" s="234"/>
      <c r="M272" s="234"/>
      <c r="N272" s="234"/>
      <c r="O272" s="234"/>
      <c r="P272" s="234"/>
      <c r="Q272" s="6"/>
      <c r="R272" s="235" t="s">
        <v>184</v>
      </c>
      <c r="S272" s="235"/>
      <c r="T272" s="235"/>
      <c r="U272" s="235"/>
      <c r="V272" s="235"/>
      <c r="W272" s="235"/>
      <c r="X272" s="235"/>
      <c r="Y272" s="235"/>
      <c r="Z272" s="235"/>
      <c r="AA272" s="235"/>
      <c r="AB272" s="235"/>
      <c r="AC272" s="235"/>
      <c r="AD272" s="235"/>
      <c r="AE272" s="235"/>
      <c r="AF272" s="9"/>
      <c r="AI272" s="35"/>
      <c r="DC272" s="3"/>
      <c r="DD272" s="37"/>
    </row>
    <row r="273" spans="2:108" ht="15" customHeight="1">
      <c r="B273" s="7"/>
      <c r="C273" s="51"/>
      <c r="D273" s="51"/>
      <c r="E273" s="51"/>
      <c r="F273" s="51"/>
      <c r="G273" s="51"/>
      <c r="H273" s="51"/>
      <c r="I273" s="51"/>
      <c r="J273" s="51"/>
      <c r="K273" s="51"/>
      <c r="L273" s="51"/>
      <c r="M273" s="51"/>
      <c r="N273" s="51"/>
      <c r="O273" s="51"/>
      <c r="P273" s="51"/>
      <c r="Q273" s="4"/>
      <c r="R273" s="57"/>
      <c r="S273" s="57"/>
      <c r="T273" s="57"/>
      <c r="U273" s="57"/>
      <c r="V273" s="57"/>
      <c r="W273" s="57"/>
      <c r="X273" s="57"/>
      <c r="Y273" s="57"/>
      <c r="Z273" s="57"/>
      <c r="AA273" s="57"/>
      <c r="AB273" s="57"/>
      <c r="AC273" s="57"/>
      <c r="AD273" s="57"/>
      <c r="AE273" s="57"/>
      <c r="AF273" s="9"/>
      <c r="AI273" s="35"/>
      <c r="DC273" s="3"/>
      <c r="DD273" s="37"/>
    </row>
    <row r="274" spans="2:108" ht="15" customHeight="1">
      <c r="B274" s="7"/>
      <c r="C274" s="53"/>
      <c r="D274" s="53" t="s">
        <v>198</v>
      </c>
      <c r="E274" s="53"/>
      <c r="F274" s="54"/>
      <c r="G274" s="55"/>
      <c r="H274" s="68" t="str">
        <f>IF(H247&lt;&gt;"",H247,"")</f>
        <v/>
      </c>
      <c r="I274" s="53"/>
      <c r="J274" s="52"/>
      <c r="K274" s="52" t="s">
        <v>4</v>
      </c>
      <c r="L274" s="52"/>
      <c r="M274" s="53"/>
      <c r="N274" s="69" t="str">
        <f>Z274</f>
        <v/>
      </c>
      <c r="O274" s="53"/>
      <c r="P274" s="53"/>
      <c r="Q274" s="6"/>
      <c r="R274" s="57"/>
      <c r="S274" s="57"/>
      <c r="T274" s="66" t="str">
        <f>H274</f>
        <v/>
      </c>
      <c r="U274" s="57"/>
      <c r="V274" s="58"/>
      <c r="W274" s="58" t="s">
        <v>4</v>
      </c>
      <c r="X274" s="58"/>
      <c r="Y274" s="57"/>
      <c r="Z274" s="67" t="str">
        <f>IF(N247&lt;&gt;"",N247,"")</f>
        <v/>
      </c>
      <c r="AA274" s="57"/>
      <c r="AB274" s="57"/>
      <c r="AC274" s="57" t="str">
        <f>D274</f>
        <v>Quarter Final 2</v>
      </c>
      <c r="AD274" s="57"/>
      <c r="AE274" s="59"/>
      <c r="AF274" s="9"/>
      <c r="AI274" s="35"/>
      <c r="DC274" s="3"/>
      <c r="DD274" s="37"/>
    </row>
    <row r="275" spans="2:108" ht="15" customHeight="1">
      <c r="B275" s="7"/>
      <c r="C275" s="53"/>
      <c r="D275" s="53" t="s">
        <v>1</v>
      </c>
      <c r="E275" s="53" t="s">
        <v>24</v>
      </c>
      <c r="F275" s="56"/>
      <c r="G275" s="53"/>
      <c r="H275" s="53"/>
      <c r="I275" s="53"/>
      <c r="J275" s="53"/>
      <c r="K275" s="52"/>
      <c r="L275" s="53"/>
      <c r="M275" s="53"/>
      <c r="N275" s="53"/>
      <c r="O275" s="53"/>
      <c r="P275" s="53"/>
      <c r="Q275" s="6"/>
      <c r="R275" s="57"/>
      <c r="S275" s="57"/>
      <c r="T275" s="57"/>
      <c r="U275" s="162" t="s">
        <v>223</v>
      </c>
      <c r="V275" s="58"/>
      <c r="W275" s="162" t="s">
        <v>4</v>
      </c>
      <c r="X275" s="58"/>
      <c r="Y275" s="57"/>
      <c r="Z275" s="57"/>
      <c r="AA275" s="57"/>
      <c r="AB275" s="57"/>
      <c r="AC275" s="57" t="s">
        <v>1</v>
      </c>
      <c r="AD275" s="57" t="s">
        <v>24</v>
      </c>
      <c r="AE275" s="60"/>
      <c r="AF275" s="9"/>
      <c r="DC275" s="3"/>
      <c r="DD275" s="37"/>
    </row>
    <row r="276" spans="2:108" ht="15" customHeight="1">
      <c r="B276" s="7"/>
      <c r="C276" s="53"/>
      <c r="D276" s="53" t="s">
        <v>2</v>
      </c>
      <c r="E276" s="53" t="s">
        <v>24</v>
      </c>
      <c r="F276" s="53"/>
      <c r="G276" s="53"/>
      <c r="H276" s="160"/>
      <c r="I276" s="160"/>
      <c r="J276" s="160"/>
      <c r="K276" s="161"/>
      <c r="L276" s="160"/>
      <c r="M276" s="160"/>
      <c r="N276" s="160"/>
      <c r="O276" s="160"/>
      <c r="P276" s="160"/>
      <c r="R276" s="158"/>
      <c r="S276" s="158"/>
      <c r="T276" s="158"/>
      <c r="U276" s="163" t="s">
        <v>222</v>
      </c>
      <c r="V276" s="159"/>
      <c r="W276" s="162" t="s">
        <v>4</v>
      </c>
      <c r="X276" s="159"/>
      <c r="Y276" s="158"/>
      <c r="Z276" s="158"/>
      <c r="AA276" s="57"/>
      <c r="AB276" s="57"/>
      <c r="AC276" s="57" t="s">
        <v>2</v>
      </c>
      <c r="AD276" s="57" t="s">
        <v>24</v>
      </c>
      <c r="AE276" s="58"/>
      <c r="AF276" s="9"/>
      <c r="AI276" s="35"/>
      <c r="DC276" s="3"/>
      <c r="DD276" s="37"/>
    </row>
    <row r="277" spans="2:108" ht="15" customHeight="1">
      <c r="B277" s="7"/>
      <c r="C277" s="53"/>
      <c r="D277" s="53" t="s">
        <v>187</v>
      </c>
      <c r="E277" s="53" t="s">
        <v>24</v>
      </c>
      <c r="F277" s="52" t="str">
        <f>IF(H274&lt;&gt;"",VLOOKUP(H274,'Team Setup'!$B$5:$C$63,2,FALSE),"")</f>
        <v/>
      </c>
      <c r="G277" s="53"/>
      <c r="H277" s="160"/>
      <c r="I277" s="160"/>
      <c r="J277" s="160"/>
      <c r="K277" s="161"/>
      <c r="L277" s="160"/>
      <c r="M277" s="160"/>
      <c r="N277" s="160"/>
      <c r="O277" s="160"/>
      <c r="P277" s="160"/>
      <c r="R277" s="158"/>
      <c r="S277" s="158"/>
      <c r="T277" s="158"/>
      <c r="U277" s="158"/>
      <c r="V277" s="158"/>
      <c r="W277" s="158"/>
      <c r="X277" s="158"/>
      <c r="Y277" s="158"/>
      <c r="Z277" s="158"/>
      <c r="AA277" s="57"/>
      <c r="AB277" s="57"/>
      <c r="AC277" s="57" t="s">
        <v>187</v>
      </c>
      <c r="AD277" s="57" t="s">
        <v>24</v>
      </c>
      <c r="AE277" s="58" t="str">
        <f>IF(Z274&lt;&gt;"",VLOOKUP(Z274,'Team Setup'!$B$5:$C$63,2,FALSE),"")</f>
        <v/>
      </c>
      <c r="AF277" s="9"/>
      <c r="AI277" s="35"/>
      <c r="DC277" s="3"/>
      <c r="DD277" s="37"/>
    </row>
    <row r="278" spans="2:108" ht="15" customHeight="1">
      <c r="B278" s="7"/>
      <c r="C278" s="53"/>
      <c r="D278" s="53"/>
      <c r="E278" s="53"/>
      <c r="F278" s="52" t="str">
        <f>IF(H274&lt;&gt;"",VLOOKUP(H274,'Team Setup'!$B$5:$D$63,3,FALSE),"")</f>
        <v/>
      </c>
      <c r="G278" s="53"/>
      <c r="H278" s="17"/>
      <c r="I278" s="17"/>
      <c r="J278" s="17"/>
      <c r="K278" s="156"/>
      <c r="L278" s="17"/>
      <c r="M278" s="17"/>
      <c r="N278" s="17" t="s">
        <v>186</v>
      </c>
      <c r="O278" s="17" t="s">
        <v>24</v>
      </c>
      <c r="P278" s="19" t="str">
        <f>IF(AND(P279&lt;&gt;"",R279&lt;&gt;""),IF(AND(V276&lt;&gt;"",X276&lt;&gt;"",V276&gt;X276),N279&amp;" win on Penalty Kick",IF(AND(V276&lt;&gt;"",X276&lt;&gt;"",V276&lt;X276),T279&amp;" win on Penalty Kick",IF(P279&gt;R279,N279&amp;" win",IF(R279&gt;P279,T279&amp;" win",IF(AND(P279=R279,L274&gt;V274),T279&amp;" win on away goals",IF(AND(P279=R279,L274&lt;V274+V275),N279&amp;" win on away goals","")))))),"")</f>
        <v/>
      </c>
      <c r="Q278" s="19"/>
      <c r="R278" s="19"/>
      <c r="S278" s="17"/>
      <c r="T278" s="17"/>
      <c r="U278" s="17"/>
      <c r="V278" s="17"/>
      <c r="W278" s="17"/>
      <c r="X278" s="17"/>
      <c r="Y278" s="17"/>
      <c r="Z278" s="17"/>
      <c r="AA278" s="57"/>
      <c r="AB278" s="57"/>
      <c r="AC278" s="57"/>
      <c r="AD278" s="57"/>
      <c r="AE278" s="58" t="str">
        <f>IF(Z274&lt;&gt;"",VLOOKUP(Z274,'Team Setup'!$B$5:$D$63,3,FALSE),"")</f>
        <v/>
      </c>
      <c r="AF278" s="9"/>
      <c r="AI278" s="35"/>
      <c r="DC278" s="3"/>
      <c r="DD278" s="37"/>
    </row>
    <row r="279" spans="2:108" ht="15" customHeight="1">
      <c r="B279" s="7"/>
      <c r="C279" s="53"/>
      <c r="D279" s="53"/>
      <c r="E279" s="53"/>
      <c r="F279" s="53"/>
      <c r="G279" s="53"/>
      <c r="H279" s="6"/>
      <c r="I279" s="6"/>
      <c r="J279" s="157"/>
      <c r="K279" s="20"/>
      <c r="L279" s="21"/>
      <c r="M279" s="157"/>
      <c r="N279" s="22" t="str">
        <f>H274</f>
        <v/>
      </c>
      <c r="O279" s="4"/>
      <c r="P279" s="23" t="str">
        <f>IF(AND(L274&lt;&gt;"",V274&lt;&gt;"",X274&lt;&gt;"",J274&lt;&gt;""),J274+V274+V275,"")</f>
        <v/>
      </c>
      <c r="Q279" s="24" t="s">
        <v>4</v>
      </c>
      <c r="R279" s="23" t="str">
        <f>IF(AND(L274&lt;&gt;"",V274&lt;&gt;"",X274&lt;&gt;"",J274&lt;&gt;""),L274+X274+X275,"")</f>
        <v/>
      </c>
      <c r="S279" s="4"/>
      <c r="T279" s="4" t="str">
        <f>Z274</f>
        <v/>
      </c>
      <c r="U279" s="6"/>
      <c r="V279" s="6"/>
      <c r="W279" s="6"/>
      <c r="X279" s="6"/>
      <c r="Y279" s="6"/>
      <c r="Z279" s="6"/>
      <c r="AA279" s="57"/>
      <c r="AB279" s="57"/>
      <c r="AC279" s="57"/>
      <c r="AD279" s="57"/>
      <c r="AE279" s="57"/>
      <c r="AF279" s="9"/>
      <c r="AI279" s="35"/>
      <c r="DC279" s="3"/>
      <c r="DD279" s="37"/>
    </row>
    <row r="280" spans="2:108" ht="15" customHeight="1">
      <c r="B280" s="7"/>
      <c r="G280" s="6"/>
      <c r="H280" s="6"/>
      <c r="I280" s="6"/>
      <c r="J280" s="6"/>
      <c r="K280" s="8"/>
      <c r="L280" s="6"/>
      <c r="M280" s="6"/>
      <c r="N280" s="6"/>
      <c r="O280" s="6"/>
      <c r="P280" s="6"/>
      <c r="Q280" s="6"/>
      <c r="R280" s="6"/>
      <c r="S280" s="6"/>
      <c r="T280" s="6"/>
      <c r="U280" s="6"/>
      <c r="V280" s="6"/>
      <c r="W280" s="6"/>
      <c r="X280" s="6"/>
      <c r="Y280" s="6"/>
      <c r="Z280" s="6"/>
      <c r="AA280" s="6"/>
      <c r="AD280" s="6"/>
      <c r="AE280" s="6"/>
      <c r="AF280" s="9"/>
      <c r="AI280" s="35"/>
      <c r="DC280" s="3"/>
      <c r="DD280" s="37"/>
    </row>
    <row r="281" spans="2:108" ht="15" customHeight="1">
      <c r="B281" s="7"/>
      <c r="C281" s="234" t="s">
        <v>185</v>
      </c>
      <c r="D281" s="234"/>
      <c r="E281" s="234"/>
      <c r="F281" s="234"/>
      <c r="G281" s="234"/>
      <c r="H281" s="234"/>
      <c r="I281" s="234"/>
      <c r="J281" s="234"/>
      <c r="K281" s="234"/>
      <c r="L281" s="234"/>
      <c r="M281" s="234"/>
      <c r="N281" s="234"/>
      <c r="O281" s="234"/>
      <c r="P281" s="234"/>
      <c r="Q281" s="6"/>
      <c r="R281" s="235" t="s">
        <v>184</v>
      </c>
      <c r="S281" s="235"/>
      <c r="T281" s="235"/>
      <c r="U281" s="235"/>
      <c r="V281" s="235"/>
      <c r="W281" s="235"/>
      <c r="X281" s="235"/>
      <c r="Y281" s="235"/>
      <c r="Z281" s="235"/>
      <c r="AA281" s="235"/>
      <c r="AB281" s="235"/>
      <c r="AC281" s="235"/>
      <c r="AD281" s="235"/>
      <c r="AE281" s="235"/>
      <c r="AF281" s="9"/>
      <c r="AI281" s="35"/>
      <c r="DC281" s="3"/>
      <c r="DD281" s="37"/>
    </row>
    <row r="282" spans="2:108" ht="15" customHeight="1">
      <c r="B282" s="7"/>
      <c r="C282" s="51"/>
      <c r="D282" s="51"/>
      <c r="E282" s="51"/>
      <c r="F282" s="51"/>
      <c r="G282" s="51"/>
      <c r="H282" s="51"/>
      <c r="I282" s="51"/>
      <c r="J282" s="51"/>
      <c r="K282" s="51"/>
      <c r="L282" s="51"/>
      <c r="M282" s="51"/>
      <c r="N282" s="51"/>
      <c r="O282" s="51"/>
      <c r="P282" s="51"/>
      <c r="Q282" s="4"/>
      <c r="R282" s="57"/>
      <c r="S282" s="57"/>
      <c r="T282" s="57"/>
      <c r="U282" s="57"/>
      <c r="V282" s="57"/>
      <c r="W282" s="57"/>
      <c r="X282" s="57"/>
      <c r="Y282" s="57"/>
      <c r="Z282" s="57"/>
      <c r="AA282" s="57"/>
      <c r="AB282" s="57"/>
      <c r="AC282" s="57"/>
      <c r="AD282" s="57"/>
      <c r="AE282" s="57"/>
      <c r="AF282" s="9"/>
      <c r="AI282" s="35"/>
      <c r="DC282" s="3"/>
      <c r="DD282" s="37"/>
    </row>
    <row r="283" spans="2:108" ht="15" customHeight="1">
      <c r="B283" s="7"/>
      <c r="C283" s="53"/>
      <c r="D283" s="53" t="s">
        <v>199</v>
      </c>
      <c r="E283" s="53"/>
      <c r="F283" s="54"/>
      <c r="G283" s="55"/>
      <c r="H283" s="68" t="str">
        <f>IF(H248&lt;&gt;"",H248,"")</f>
        <v/>
      </c>
      <c r="I283" s="53"/>
      <c r="J283" s="52"/>
      <c r="K283" s="52" t="s">
        <v>4</v>
      </c>
      <c r="L283" s="52"/>
      <c r="M283" s="53"/>
      <c r="N283" s="69" t="str">
        <f>Z283</f>
        <v/>
      </c>
      <c r="O283" s="53"/>
      <c r="P283" s="53"/>
      <c r="Q283" s="6"/>
      <c r="R283" s="57"/>
      <c r="S283" s="57"/>
      <c r="T283" s="66" t="str">
        <f>H283</f>
        <v/>
      </c>
      <c r="U283" s="57"/>
      <c r="V283" s="58"/>
      <c r="W283" s="58" t="s">
        <v>4</v>
      </c>
      <c r="X283" s="58"/>
      <c r="Y283" s="57"/>
      <c r="Z283" s="67" t="str">
        <f>IF(N248&lt;&gt;"",N248,"")</f>
        <v/>
      </c>
      <c r="AA283" s="57"/>
      <c r="AB283" s="57"/>
      <c r="AC283" s="57" t="str">
        <f>D283</f>
        <v>Quarter Final 3</v>
      </c>
      <c r="AD283" s="57"/>
      <c r="AE283" s="59"/>
      <c r="AF283" s="9"/>
      <c r="AI283" s="35"/>
      <c r="DC283" s="3"/>
      <c r="DD283" s="37"/>
    </row>
    <row r="284" spans="2:108" ht="15" customHeight="1">
      <c r="B284" s="7"/>
      <c r="C284" s="53"/>
      <c r="D284" s="53" t="s">
        <v>1</v>
      </c>
      <c r="E284" s="53" t="s">
        <v>24</v>
      </c>
      <c r="F284" s="56"/>
      <c r="G284" s="53"/>
      <c r="H284" s="53"/>
      <c r="I284" s="53"/>
      <c r="J284" s="53"/>
      <c r="K284" s="52"/>
      <c r="L284" s="53"/>
      <c r="M284" s="53"/>
      <c r="N284" s="53"/>
      <c r="O284" s="53"/>
      <c r="P284" s="53"/>
      <c r="Q284" s="6"/>
      <c r="R284" s="57"/>
      <c r="S284" s="57"/>
      <c r="T284" s="57"/>
      <c r="U284" s="162" t="s">
        <v>223</v>
      </c>
      <c r="V284" s="58"/>
      <c r="W284" s="162" t="s">
        <v>4</v>
      </c>
      <c r="X284" s="58"/>
      <c r="Y284" s="57"/>
      <c r="Z284" s="57"/>
      <c r="AA284" s="57"/>
      <c r="AB284" s="57"/>
      <c r="AC284" s="57" t="s">
        <v>1</v>
      </c>
      <c r="AD284" s="57" t="s">
        <v>24</v>
      </c>
      <c r="AE284" s="60"/>
      <c r="AF284" s="9"/>
      <c r="DC284" s="3"/>
      <c r="DD284" s="37"/>
    </row>
    <row r="285" spans="2:108" ht="15" customHeight="1">
      <c r="B285" s="7"/>
      <c r="C285" s="53"/>
      <c r="D285" s="53" t="s">
        <v>2</v>
      </c>
      <c r="E285" s="53" t="s">
        <v>24</v>
      </c>
      <c r="F285" s="53"/>
      <c r="G285" s="53"/>
      <c r="H285" s="160"/>
      <c r="I285" s="160"/>
      <c r="J285" s="160"/>
      <c r="K285" s="161"/>
      <c r="L285" s="160"/>
      <c r="M285" s="160"/>
      <c r="N285" s="160"/>
      <c r="O285" s="160"/>
      <c r="P285" s="160"/>
      <c r="R285" s="158"/>
      <c r="S285" s="158"/>
      <c r="T285" s="158"/>
      <c r="U285" s="163" t="s">
        <v>222</v>
      </c>
      <c r="V285" s="159"/>
      <c r="W285" s="162" t="s">
        <v>4</v>
      </c>
      <c r="X285" s="159"/>
      <c r="Y285" s="158"/>
      <c r="Z285" s="158"/>
      <c r="AA285" s="57"/>
      <c r="AB285" s="57"/>
      <c r="AC285" s="57" t="s">
        <v>2</v>
      </c>
      <c r="AD285" s="57" t="s">
        <v>24</v>
      </c>
      <c r="AE285" s="58"/>
      <c r="AF285" s="9"/>
      <c r="AI285" s="35"/>
      <c r="DC285" s="3"/>
      <c r="DD285" s="37"/>
    </row>
    <row r="286" spans="2:108" ht="15" customHeight="1">
      <c r="B286" s="7"/>
      <c r="C286" s="53"/>
      <c r="D286" s="53" t="s">
        <v>187</v>
      </c>
      <c r="E286" s="53" t="s">
        <v>24</v>
      </c>
      <c r="F286" s="52" t="str">
        <f>IF(H283&lt;&gt;"",VLOOKUP(H283,'Team Setup'!$B$5:$C$63,2,FALSE),"")</f>
        <v/>
      </c>
      <c r="G286" s="53"/>
      <c r="H286" s="160"/>
      <c r="I286" s="160"/>
      <c r="J286" s="160"/>
      <c r="K286" s="161"/>
      <c r="L286" s="160"/>
      <c r="M286" s="160"/>
      <c r="N286" s="160"/>
      <c r="O286" s="160"/>
      <c r="P286" s="160"/>
      <c r="R286" s="158"/>
      <c r="S286" s="158"/>
      <c r="T286" s="158"/>
      <c r="U286" s="158"/>
      <c r="V286" s="158"/>
      <c r="W286" s="158"/>
      <c r="X286" s="158"/>
      <c r="Y286" s="158"/>
      <c r="Z286" s="158"/>
      <c r="AA286" s="57"/>
      <c r="AB286" s="57"/>
      <c r="AC286" s="57" t="s">
        <v>187</v>
      </c>
      <c r="AD286" s="57" t="s">
        <v>24</v>
      </c>
      <c r="AE286" s="58" t="str">
        <f>IF(Z283&lt;&gt;"",VLOOKUP(Z283,'Team Setup'!$B$5:$C$63,2,FALSE),"")</f>
        <v/>
      </c>
      <c r="AF286" s="9"/>
      <c r="AI286" s="35"/>
      <c r="DC286" s="3"/>
      <c r="DD286" s="37"/>
    </row>
    <row r="287" spans="2:108" ht="15" customHeight="1">
      <c r="B287" s="7"/>
      <c r="C287" s="53"/>
      <c r="D287" s="53"/>
      <c r="E287" s="53"/>
      <c r="F287" s="52" t="str">
        <f>IF(H283&lt;&gt;"",VLOOKUP(H283,'Team Setup'!$B$5:$D$63,3,FALSE),"")</f>
        <v/>
      </c>
      <c r="G287" s="53"/>
      <c r="H287" s="17"/>
      <c r="I287" s="17"/>
      <c r="J287" s="17"/>
      <c r="K287" s="170"/>
      <c r="L287" s="17"/>
      <c r="M287" s="17"/>
      <c r="N287" s="17" t="s">
        <v>186</v>
      </c>
      <c r="O287" s="17" t="s">
        <v>24</v>
      </c>
      <c r="P287" s="19" t="str">
        <f>IF(AND(P288&lt;&gt;"",R288&lt;&gt;""),IF(AND(V285&lt;&gt;"",X285&lt;&gt;"",V285&gt;X285),N288&amp;" win on Penalty Kick",IF(AND(V285&lt;&gt;"",X285&lt;&gt;"",V285&lt;X285),T288&amp;" win on Penalty Kick",IF(P288&gt;R288,N288&amp;" win",IF(R288&gt;P288,T288&amp;" win",IF(AND(P288=R288,L283&gt;V283),T288&amp;" win on away goals",IF(AND(P288=R288,L283&lt;V283+V284),N288&amp;" win on away goals","")))))),"")</f>
        <v/>
      </c>
      <c r="Q287" s="19"/>
      <c r="R287" s="19"/>
      <c r="S287" s="17"/>
      <c r="T287" s="17"/>
      <c r="U287" s="17"/>
      <c r="V287" s="17"/>
      <c r="W287" s="17"/>
      <c r="X287" s="17"/>
      <c r="Y287" s="17"/>
      <c r="Z287" s="17"/>
      <c r="AA287" s="57"/>
      <c r="AB287" s="57"/>
      <c r="AC287" s="57"/>
      <c r="AD287" s="57"/>
      <c r="AE287" s="58" t="str">
        <f>IF(Z283&lt;&gt;"",VLOOKUP(Z283,'Team Setup'!$B$5:$D$63,3,FALSE),"")</f>
        <v/>
      </c>
      <c r="AF287" s="9"/>
      <c r="AI287" s="35"/>
      <c r="DC287" s="3"/>
      <c r="DD287" s="37"/>
    </row>
    <row r="288" spans="2:108" ht="15" customHeight="1">
      <c r="B288" s="7"/>
      <c r="C288" s="53"/>
      <c r="D288" s="53"/>
      <c r="E288" s="53"/>
      <c r="F288" s="53"/>
      <c r="G288" s="53"/>
      <c r="H288" s="6"/>
      <c r="I288" s="6"/>
      <c r="J288" s="169"/>
      <c r="K288" s="20"/>
      <c r="L288" s="21"/>
      <c r="M288" s="169"/>
      <c r="N288" s="22" t="str">
        <f>H283</f>
        <v/>
      </c>
      <c r="O288" s="4"/>
      <c r="P288" s="23" t="str">
        <f>IF(AND(L283&lt;&gt;"",V283&lt;&gt;"",X283&lt;&gt;"",J283&lt;&gt;""),J283+V283+V284,"")</f>
        <v/>
      </c>
      <c r="Q288" s="24" t="s">
        <v>4</v>
      </c>
      <c r="R288" s="23" t="str">
        <f>IF(AND(L283&lt;&gt;"",V283&lt;&gt;"",X283&lt;&gt;"",J283&lt;&gt;""),L283+X283+X284,"")</f>
        <v/>
      </c>
      <c r="S288" s="4"/>
      <c r="T288" s="4" t="str">
        <f>Z283</f>
        <v/>
      </c>
      <c r="U288" s="6"/>
      <c r="V288" s="6"/>
      <c r="W288" s="6"/>
      <c r="X288" s="6"/>
      <c r="Y288" s="6"/>
      <c r="Z288" s="6"/>
      <c r="AA288" s="57"/>
      <c r="AB288" s="57"/>
      <c r="AC288" s="57"/>
      <c r="AD288" s="57"/>
      <c r="AE288" s="57"/>
      <c r="AF288" s="9"/>
      <c r="AI288" s="35"/>
      <c r="DC288" s="3"/>
      <c r="DD288" s="37"/>
    </row>
    <row r="289" spans="2:108" ht="15" customHeight="1">
      <c r="B289" s="7"/>
      <c r="G289" s="6"/>
      <c r="H289" s="6"/>
      <c r="I289" s="6"/>
      <c r="J289" s="6"/>
      <c r="K289" s="169"/>
      <c r="L289" s="6"/>
      <c r="M289" s="6"/>
      <c r="N289" s="6"/>
      <c r="O289" s="6"/>
      <c r="P289" s="6"/>
      <c r="Q289" s="6"/>
      <c r="R289" s="6"/>
      <c r="S289" s="6"/>
      <c r="T289" s="6"/>
      <c r="U289" s="6"/>
      <c r="V289" s="6"/>
      <c r="W289" s="6"/>
      <c r="X289" s="6"/>
      <c r="Y289" s="6"/>
      <c r="Z289" s="6"/>
      <c r="AA289" s="6"/>
      <c r="AD289" s="6"/>
      <c r="AE289" s="6"/>
      <c r="AF289" s="9"/>
      <c r="AI289" s="35"/>
      <c r="DC289" s="3"/>
      <c r="DD289" s="37"/>
    </row>
    <row r="290" spans="2:108" ht="15" customHeight="1">
      <c r="B290" s="7"/>
      <c r="C290" s="234" t="s">
        <v>185</v>
      </c>
      <c r="D290" s="234"/>
      <c r="E290" s="234"/>
      <c r="F290" s="234"/>
      <c r="G290" s="234"/>
      <c r="H290" s="234"/>
      <c r="I290" s="234"/>
      <c r="J290" s="234"/>
      <c r="K290" s="234"/>
      <c r="L290" s="234"/>
      <c r="M290" s="234"/>
      <c r="N290" s="234"/>
      <c r="O290" s="234"/>
      <c r="P290" s="234"/>
      <c r="Q290" s="6"/>
      <c r="R290" s="235" t="s">
        <v>184</v>
      </c>
      <c r="S290" s="235"/>
      <c r="T290" s="235"/>
      <c r="U290" s="235"/>
      <c r="V290" s="235"/>
      <c r="W290" s="235"/>
      <c r="X290" s="235"/>
      <c r="Y290" s="235"/>
      <c r="Z290" s="235"/>
      <c r="AA290" s="235"/>
      <c r="AB290" s="235"/>
      <c r="AC290" s="235"/>
      <c r="AD290" s="235"/>
      <c r="AE290" s="235"/>
      <c r="AF290" s="9"/>
      <c r="AI290" s="35"/>
      <c r="DC290" s="3"/>
      <c r="DD290" s="37"/>
    </row>
    <row r="291" spans="2:108" ht="15" customHeight="1">
      <c r="B291" s="7"/>
      <c r="C291" s="51"/>
      <c r="D291" s="51"/>
      <c r="E291" s="51"/>
      <c r="F291" s="51"/>
      <c r="G291" s="51"/>
      <c r="H291" s="51"/>
      <c r="I291" s="51"/>
      <c r="J291" s="51"/>
      <c r="K291" s="51"/>
      <c r="L291" s="51"/>
      <c r="M291" s="51"/>
      <c r="N291" s="51"/>
      <c r="O291" s="51"/>
      <c r="P291" s="51"/>
      <c r="Q291" s="4"/>
      <c r="R291" s="57"/>
      <c r="S291" s="57"/>
      <c r="T291" s="57"/>
      <c r="U291" s="57"/>
      <c r="V291" s="57"/>
      <c r="W291" s="57"/>
      <c r="X291" s="57"/>
      <c r="Y291" s="57"/>
      <c r="Z291" s="57"/>
      <c r="AA291" s="57"/>
      <c r="AB291" s="57"/>
      <c r="AC291" s="57"/>
      <c r="AD291" s="57"/>
      <c r="AE291" s="57"/>
      <c r="AF291" s="9"/>
      <c r="AI291" s="35"/>
      <c r="DC291" s="3"/>
      <c r="DD291" s="37"/>
    </row>
    <row r="292" spans="2:108" ht="15" customHeight="1">
      <c r="B292" s="7"/>
      <c r="C292" s="53"/>
      <c r="D292" s="53" t="s">
        <v>200</v>
      </c>
      <c r="E292" s="53"/>
      <c r="F292" s="54"/>
      <c r="G292" s="55"/>
      <c r="H292" s="68" t="str">
        <f>IF(H249&lt;&gt;"",H249,"")</f>
        <v/>
      </c>
      <c r="I292" s="53"/>
      <c r="J292" s="52"/>
      <c r="K292" s="52" t="s">
        <v>4</v>
      </c>
      <c r="L292" s="52"/>
      <c r="M292" s="53"/>
      <c r="N292" s="69" t="str">
        <f>Z292</f>
        <v/>
      </c>
      <c r="O292" s="53"/>
      <c r="P292" s="53"/>
      <c r="Q292" s="6"/>
      <c r="R292" s="57"/>
      <c r="S292" s="57"/>
      <c r="T292" s="66" t="str">
        <f>H292</f>
        <v/>
      </c>
      <c r="U292" s="57"/>
      <c r="V292" s="58"/>
      <c r="W292" s="58" t="s">
        <v>4</v>
      </c>
      <c r="X292" s="58"/>
      <c r="Y292" s="57"/>
      <c r="Z292" s="67" t="str">
        <f>IF(N249&lt;&gt;"",N249,"")</f>
        <v/>
      </c>
      <c r="AA292" s="57"/>
      <c r="AB292" s="57"/>
      <c r="AC292" s="57" t="str">
        <f>D292</f>
        <v>Quarter Final 4</v>
      </c>
      <c r="AD292" s="57"/>
      <c r="AE292" s="59"/>
      <c r="AF292" s="9"/>
      <c r="AI292" s="35"/>
      <c r="DC292" s="3"/>
      <c r="DD292" s="37"/>
    </row>
    <row r="293" spans="2:108" ht="15" customHeight="1">
      <c r="B293" s="7"/>
      <c r="C293" s="53"/>
      <c r="D293" s="53" t="s">
        <v>1</v>
      </c>
      <c r="E293" s="53" t="s">
        <v>24</v>
      </c>
      <c r="F293" s="56"/>
      <c r="G293" s="53"/>
      <c r="H293" s="53"/>
      <c r="I293" s="53"/>
      <c r="J293" s="53"/>
      <c r="K293" s="52"/>
      <c r="L293" s="53"/>
      <c r="M293" s="53"/>
      <c r="N293" s="53"/>
      <c r="O293" s="53"/>
      <c r="P293" s="53"/>
      <c r="Q293" s="6"/>
      <c r="R293" s="57"/>
      <c r="S293" s="57"/>
      <c r="T293" s="57"/>
      <c r="U293" s="162" t="s">
        <v>223</v>
      </c>
      <c r="V293" s="58"/>
      <c r="W293" s="162" t="s">
        <v>4</v>
      </c>
      <c r="X293" s="58"/>
      <c r="Y293" s="57"/>
      <c r="Z293" s="57"/>
      <c r="AA293" s="57"/>
      <c r="AB293" s="57"/>
      <c r="AC293" s="57" t="s">
        <v>1</v>
      </c>
      <c r="AD293" s="57" t="s">
        <v>24</v>
      </c>
      <c r="AE293" s="60"/>
      <c r="AF293" s="9"/>
      <c r="DC293" s="3"/>
      <c r="DD293" s="37"/>
    </row>
    <row r="294" spans="2:108" ht="15" customHeight="1">
      <c r="B294" s="7"/>
      <c r="C294" s="53"/>
      <c r="D294" s="53" t="s">
        <v>2</v>
      </c>
      <c r="E294" s="53" t="s">
        <v>24</v>
      </c>
      <c r="F294" s="53"/>
      <c r="G294" s="53"/>
      <c r="H294" s="160"/>
      <c r="I294" s="160"/>
      <c r="J294" s="160"/>
      <c r="K294" s="161"/>
      <c r="L294" s="160"/>
      <c r="M294" s="160"/>
      <c r="N294" s="160"/>
      <c r="O294" s="160"/>
      <c r="P294" s="160"/>
      <c r="R294" s="158"/>
      <c r="S294" s="158"/>
      <c r="T294" s="158"/>
      <c r="U294" s="163" t="s">
        <v>222</v>
      </c>
      <c r="V294" s="159"/>
      <c r="W294" s="162" t="s">
        <v>4</v>
      </c>
      <c r="X294" s="159"/>
      <c r="Y294" s="158"/>
      <c r="Z294" s="158"/>
      <c r="AA294" s="57"/>
      <c r="AB294" s="57"/>
      <c r="AC294" s="57" t="s">
        <v>2</v>
      </c>
      <c r="AD294" s="57" t="s">
        <v>24</v>
      </c>
      <c r="AE294" s="58"/>
      <c r="AF294" s="9"/>
      <c r="AI294" s="35"/>
      <c r="DC294" s="3"/>
      <c r="DD294" s="37"/>
    </row>
    <row r="295" spans="2:108" ht="15" customHeight="1">
      <c r="B295" s="7"/>
      <c r="C295" s="53"/>
      <c r="D295" s="53" t="s">
        <v>187</v>
      </c>
      <c r="E295" s="53" t="s">
        <v>24</v>
      </c>
      <c r="F295" s="52" t="str">
        <f>IF(H292&lt;&gt;"",VLOOKUP(H292,'Team Setup'!$B$5:$C$63,2,FALSE),"")</f>
        <v/>
      </c>
      <c r="G295" s="53"/>
      <c r="H295" s="160"/>
      <c r="I295" s="160"/>
      <c r="J295" s="160"/>
      <c r="K295" s="161"/>
      <c r="L295" s="160"/>
      <c r="M295" s="160"/>
      <c r="N295" s="160"/>
      <c r="O295" s="160"/>
      <c r="P295" s="160"/>
      <c r="R295" s="158"/>
      <c r="S295" s="158"/>
      <c r="T295" s="158"/>
      <c r="U295" s="158"/>
      <c r="V295" s="158"/>
      <c r="W295" s="158"/>
      <c r="X295" s="158"/>
      <c r="Y295" s="158"/>
      <c r="Z295" s="158"/>
      <c r="AA295" s="57"/>
      <c r="AB295" s="57"/>
      <c r="AC295" s="57" t="s">
        <v>187</v>
      </c>
      <c r="AD295" s="57" t="s">
        <v>24</v>
      </c>
      <c r="AE295" s="58" t="str">
        <f>IF(Z292&lt;&gt;"",VLOOKUP(Z292,'Team Setup'!$B$5:$C$63,2,FALSE),"")</f>
        <v/>
      </c>
      <c r="AF295" s="9"/>
      <c r="AI295" s="35"/>
      <c r="DC295" s="3"/>
      <c r="DD295" s="37"/>
    </row>
    <row r="296" spans="2:108" ht="15" customHeight="1">
      <c r="B296" s="7"/>
      <c r="C296" s="53"/>
      <c r="D296" s="53"/>
      <c r="E296" s="53"/>
      <c r="F296" s="52" t="str">
        <f>IF(H292&lt;&gt;"",VLOOKUP(H292,'Team Setup'!$B$5:$D$63,3,FALSE),"")</f>
        <v/>
      </c>
      <c r="G296" s="53"/>
      <c r="H296" s="17"/>
      <c r="I296" s="17"/>
      <c r="J296" s="17"/>
      <c r="K296" s="170"/>
      <c r="L296" s="17"/>
      <c r="M296" s="17"/>
      <c r="N296" s="17" t="s">
        <v>186</v>
      </c>
      <c r="O296" s="17" t="s">
        <v>24</v>
      </c>
      <c r="P296" s="19" t="str">
        <f>IF(AND(P297&lt;&gt;"",R297&lt;&gt;""),IF(AND(V294&lt;&gt;"",X294&lt;&gt;"",V294&gt;X294),N297&amp;" win on Penalty Kick",IF(AND(V294&lt;&gt;"",X294&lt;&gt;"",V294&lt;X294),T297&amp;" win on Penalty Kick",IF(P297&gt;R297,N297&amp;" win",IF(R297&gt;P297,T297&amp;" win",IF(AND(P297=R297,L292&gt;V292),T297&amp;" win on away goals",IF(AND(P297=R297,L292&lt;V292+V293),N297&amp;" win on away goals","")))))),"")</f>
        <v/>
      </c>
      <c r="Q296" s="19"/>
      <c r="R296" s="19"/>
      <c r="S296" s="17"/>
      <c r="T296" s="17"/>
      <c r="U296" s="17"/>
      <c r="V296" s="17"/>
      <c r="W296" s="17"/>
      <c r="X296" s="17"/>
      <c r="Y296" s="17"/>
      <c r="Z296" s="17"/>
      <c r="AA296" s="57"/>
      <c r="AB296" s="57"/>
      <c r="AC296" s="57"/>
      <c r="AD296" s="57"/>
      <c r="AE296" s="58" t="str">
        <f>IF(Z292&lt;&gt;"",VLOOKUP(Z292,'Team Setup'!$B$5:$D$63,3,FALSE),"")</f>
        <v/>
      </c>
      <c r="AF296" s="9"/>
      <c r="AI296" s="35"/>
      <c r="DC296" s="3"/>
      <c r="DD296" s="37"/>
    </row>
    <row r="297" spans="2:108" ht="15" customHeight="1">
      <c r="B297" s="7"/>
      <c r="C297" s="53"/>
      <c r="D297" s="53"/>
      <c r="E297" s="53"/>
      <c r="F297" s="53"/>
      <c r="G297" s="53"/>
      <c r="H297" s="6"/>
      <c r="I297" s="6"/>
      <c r="J297" s="169"/>
      <c r="K297" s="20"/>
      <c r="L297" s="21"/>
      <c r="M297" s="169"/>
      <c r="N297" s="22" t="str">
        <f>H292</f>
        <v/>
      </c>
      <c r="O297" s="4"/>
      <c r="P297" s="23" t="str">
        <f>IF(AND(L292&lt;&gt;"",V292&lt;&gt;"",X292&lt;&gt;"",J292&lt;&gt;""),J292+V292+V293,"")</f>
        <v/>
      </c>
      <c r="Q297" s="24" t="s">
        <v>4</v>
      </c>
      <c r="R297" s="23" t="str">
        <f>IF(AND(L292&lt;&gt;"",V292&lt;&gt;"",X292&lt;&gt;"",J292&lt;&gt;""),L292+X292+X293,"")</f>
        <v/>
      </c>
      <c r="S297" s="4"/>
      <c r="T297" s="4" t="str">
        <f>Z292</f>
        <v/>
      </c>
      <c r="U297" s="6"/>
      <c r="V297" s="6"/>
      <c r="W297" s="6"/>
      <c r="X297" s="6"/>
      <c r="Y297" s="6"/>
      <c r="Z297" s="6"/>
      <c r="AA297" s="57"/>
      <c r="AB297" s="57"/>
      <c r="AC297" s="57"/>
      <c r="AD297" s="57"/>
      <c r="AE297" s="57"/>
      <c r="AF297" s="9"/>
      <c r="AI297" s="35"/>
      <c r="DC297" s="3"/>
      <c r="DD297" s="37"/>
    </row>
    <row r="298" spans="2:108" ht="15" customHeight="1">
      <c r="B298" s="7"/>
      <c r="G298" s="6"/>
      <c r="H298" s="6"/>
      <c r="I298" s="6"/>
      <c r="J298" s="6"/>
      <c r="K298" s="169"/>
      <c r="L298" s="6"/>
      <c r="M298" s="6"/>
      <c r="N298" s="6"/>
      <c r="O298" s="6"/>
      <c r="P298" s="6"/>
      <c r="Q298" s="6"/>
      <c r="R298" s="6"/>
      <c r="S298" s="6"/>
      <c r="T298" s="6"/>
      <c r="U298" s="6"/>
      <c r="V298" s="6"/>
      <c r="W298" s="6"/>
      <c r="X298" s="6"/>
      <c r="Y298" s="6"/>
      <c r="Z298" s="6"/>
      <c r="AA298" s="6"/>
      <c r="AD298" s="6"/>
      <c r="AE298" s="6"/>
      <c r="AF298" s="9"/>
      <c r="AI298" s="35"/>
      <c r="DC298" s="3"/>
      <c r="DD298" s="37"/>
    </row>
    <row r="299" spans="2:108" ht="15" customHeight="1">
      <c r="B299" s="246" t="s">
        <v>22</v>
      </c>
      <c r="C299" s="247"/>
      <c r="D299" s="247"/>
      <c r="E299" s="247"/>
      <c r="F299" s="247"/>
      <c r="G299" s="247"/>
      <c r="H299" s="247"/>
      <c r="I299" s="247"/>
      <c r="J299" s="247"/>
      <c r="K299" s="247"/>
      <c r="L299" s="247"/>
      <c r="M299" s="247"/>
      <c r="N299" s="247"/>
      <c r="O299" s="247"/>
      <c r="P299" s="247"/>
      <c r="Q299" s="247"/>
      <c r="R299" s="247"/>
      <c r="S299" s="247"/>
      <c r="T299" s="247"/>
      <c r="U299" s="247"/>
      <c r="V299" s="247"/>
      <c r="W299" s="247"/>
      <c r="X299" s="247"/>
      <c r="Y299" s="247"/>
      <c r="Z299" s="247"/>
      <c r="AA299" s="247"/>
      <c r="AB299" s="247"/>
      <c r="AC299" s="247"/>
      <c r="AD299" s="247"/>
      <c r="AE299" s="247"/>
      <c r="AF299" s="248"/>
      <c r="AI299" s="35"/>
      <c r="DC299" s="3"/>
      <c r="DD299" s="37"/>
    </row>
    <row r="300" spans="2:108" ht="15" customHeight="1">
      <c r="B300" s="7"/>
      <c r="G300" s="6"/>
      <c r="H300" s="6"/>
      <c r="I300" s="6"/>
      <c r="J300" s="6"/>
      <c r="K300" s="169"/>
      <c r="L300" s="6"/>
      <c r="M300" s="6"/>
      <c r="N300" s="6"/>
      <c r="O300" s="6"/>
      <c r="P300" s="6"/>
      <c r="Q300" s="6"/>
      <c r="R300" s="6"/>
      <c r="S300" s="6"/>
      <c r="T300" s="6"/>
      <c r="U300" s="6"/>
      <c r="V300" s="6"/>
      <c r="W300" s="6"/>
      <c r="X300" s="6"/>
      <c r="Y300" s="6"/>
      <c r="Z300" s="6"/>
      <c r="AA300" s="6"/>
      <c r="AD300" s="6"/>
      <c r="AE300" s="6"/>
      <c r="AF300" s="9"/>
      <c r="AI300" s="35"/>
      <c r="DC300" s="3"/>
      <c r="DD300" s="37"/>
    </row>
    <row r="301" spans="2:108" ht="15" customHeight="1">
      <c r="B301" s="7"/>
      <c r="C301" s="234" t="s">
        <v>185</v>
      </c>
      <c r="D301" s="234"/>
      <c r="E301" s="234"/>
      <c r="F301" s="234"/>
      <c r="G301" s="234"/>
      <c r="H301" s="234"/>
      <c r="I301" s="234"/>
      <c r="J301" s="234"/>
      <c r="K301" s="234"/>
      <c r="L301" s="234"/>
      <c r="M301" s="234"/>
      <c r="N301" s="234"/>
      <c r="O301" s="234"/>
      <c r="P301" s="234"/>
      <c r="Q301" s="6"/>
      <c r="R301" s="235" t="s">
        <v>184</v>
      </c>
      <c r="S301" s="235"/>
      <c r="T301" s="235"/>
      <c r="U301" s="235"/>
      <c r="V301" s="235"/>
      <c r="W301" s="235"/>
      <c r="X301" s="235"/>
      <c r="Y301" s="235"/>
      <c r="Z301" s="235"/>
      <c r="AA301" s="235"/>
      <c r="AB301" s="235"/>
      <c r="AC301" s="235"/>
      <c r="AD301" s="235"/>
      <c r="AE301" s="235"/>
      <c r="AF301" s="9"/>
      <c r="AI301" s="35"/>
      <c r="DC301" s="3"/>
      <c r="DD301" s="37"/>
    </row>
    <row r="302" spans="2:108" ht="15" customHeight="1">
      <c r="B302" s="7"/>
      <c r="C302" s="51"/>
      <c r="D302" s="51"/>
      <c r="E302" s="51"/>
      <c r="F302" s="51"/>
      <c r="G302" s="51"/>
      <c r="H302" s="51"/>
      <c r="I302" s="51"/>
      <c r="J302" s="51"/>
      <c r="K302" s="51"/>
      <c r="L302" s="51"/>
      <c r="M302" s="51"/>
      <c r="N302" s="51"/>
      <c r="O302" s="51"/>
      <c r="P302" s="51"/>
      <c r="Q302" s="4"/>
      <c r="R302" s="57"/>
      <c r="S302" s="57"/>
      <c r="T302" s="57"/>
      <c r="U302" s="57"/>
      <c r="V302" s="57"/>
      <c r="W302" s="57"/>
      <c r="X302" s="57"/>
      <c r="Y302" s="57"/>
      <c r="Z302" s="57"/>
      <c r="AA302" s="57"/>
      <c r="AB302" s="57"/>
      <c r="AC302" s="57"/>
      <c r="AD302" s="57"/>
      <c r="AE302" s="57"/>
      <c r="AF302" s="9"/>
      <c r="DC302" s="3"/>
      <c r="DD302" s="37"/>
    </row>
    <row r="303" spans="2:108" ht="15" customHeight="1">
      <c r="B303" s="7"/>
      <c r="C303" s="53"/>
      <c r="D303" s="53" t="s">
        <v>205</v>
      </c>
      <c r="E303" s="53"/>
      <c r="F303" s="54"/>
      <c r="G303" s="55"/>
      <c r="H303" s="68" t="str">
        <f>IF(T247&lt;&gt;"",T247,"")</f>
        <v/>
      </c>
      <c r="I303" s="53"/>
      <c r="J303" s="52"/>
      <c r="K303" s="52" t="s">
        <v>4</v>
      </c>
      <c r="L303" s="52"/>
      <c r="M303" s="53"/>
      <c r="N303" s="69" t="str">
        <f>Z303</f>
        <v/>
      </c>
      <c r="O303" s="53"/>
      <c r="P303" s="53"/>
      <c r="Q303" s="6"/>
      <c r="R303" s="57"/>
      <c r="S303" s="57"/>
      <c r="T303" s="66" t="str">
        <f>H303</f>
        <v/>
      </c>
      <c r="U303" s="57"/>
      <c r="V303" s="58"/>
      <c r="W303" s="58" t="s">
        <v>4</v>
      </c>
      <c r="X303" s="58"/>
      <c r="Y303" s="57"/>
      <c r="Z303" s="67" t="str">
        <f>IF(Z247&lt;&gt;"",Z247,"")</f>
        <v/>
      </c>
      <c r="AA303" s="57"/>
      <c r="AB303" s="57"/>
      <c r="AC303" s="57" t="str">
        <f>D303</f>
        <v>Semi Final 1</v>
      </c>
      <c r="AD303" s="57"/>
      <c r="AE303" s="59"/>
      <c r="AF303" s="9"/>
      <c r="AI303" s="35"/>
      <c r="DC303" s="3"/>
      <c r="DD303" s="37"/>
    </row>
    <row r="304" spans="2:108" ht="15" customHeight="1">
      <c r="B304" s="7"/>
      <c r="C304" s="53"/>
      <c r="D304" s="53" t="s">
        <v>1</v>
      </c>
      <c r="E304" s="53" t="s">
        <v>24</v>
      </c>
      <c r="F304" s="56"/>
      <c r="G304" s="53"/>
      <c r="H304" s="53"/>
      <c r="I304" s="53"/>
      <c r="J304" s="53"/>
      <c r="K304" s="52"/>
      <c r="L304" s="53"/>
      <c r="M304" s="53"/>
      <c r="N304" s="53"/>
      <c r="O304" s="53"/>
      <c r="P304" s="53"/>
      <c r="Q304" s="6"/>
      <c r="R304" s="57"/>
      <c r="S304" s="57"/>
      <c r="T304" s="57"/>
      <c r="U304" s="162" t="s">
        <v>223</v>
      </c>
      <c r="V304" s="58"/>
      <c r="W304" s="162" t="s">
        <v>4</v>
      </c>
      <c r="X304" s="58"/>
      <c r="Y304" s="57"/>
      <c r="Z304" s="57"/>
      <c r="AA304" s="57"/>
      <c r="AB304" s="57"/>
      <c r="AC304" s="57" t="s">
        <v>1</v>
      </c>
      <c r="AD304" s="57" t="s">
        <v>24</v>
      </c>
      <c r="AE304" s="60"/>
      <c r="AF304" s="9"/>
      <c r="AI304" s="35"/>
      <c r="DC304" s="3"/>
      <c r="DD304" s="37"/>
    </row>
    <row r="305" spans="2:108" ht="15" customHeight="1">
      <c r="B305" s="7"/>
      <c r="C305" s="53"/>
      <c r="D305" s="53" t="s">
        <v>2</v>
      </c>
      <c r="E305" s="53" t="s">
        <v>24</v>
      </c>
      <c r="F305" s="53"/>
      <c r="G305" s="53"/>
      <c r="H305" s="160"/>
      <c r="I305" s="160"/>
      <c r="J305" s="160"/>
      <c r="K305" s="161"/>
      <c r="L305" s="160"/>
      <c r="M305" s="160"/>
      <c r="N305" s="160"/>
      <c r="O305" s="160"/>
      <c r="P305" s="160"/>
      <c r="R305" s="158"/>
      <c r="S305" s="158"/>
      <c r="T305" s="158"/>
      <c r="U305" s="163" t="s">
        <v>222</v>
      </c>
      <c r="V305" s="159"/>
      <c r="W305" s="162" t="s">
        <v>4</v>
      </c>
      <c r="X305" s="159"/>
      <c r="Y305" s="158"/>
      <c r="Z305" s="158"/>
      <c r="AA305" s="57"/>
      <c r="AB305" s="57"/>
      <c r="AC305" s="57" t="s">
        <v>2</v>
      </c>
      <c r="AD305" s="57" t="s">
        <v>24</v>
      </c>
      <c r="AE305" s="58"/>
      <c r="AF305" s="9"/>
      <c r="DC305" s="3"/>
      <c r="DD305" s="37"/>
    </row>
    <row r="306" spans="2:108" ht="15" customHeight="1">
      <c r="B306" s="7"/>
      <c r="C306" s="53"/>
      <c r="D306" s="53" t="s">
        <v>187</v>
      </c>
      <c r="E306" s="53" t="s">
        <v>24</v>
      </c>
      <c r="F306" s="52" t="str">
        <f>IF(H303&lt;&gt;"",VLOOKUP(H303,'Team Setup'!$B$5:$C$63,2,FALSE),"")</f>
        <v/>
      </c>
      <c r="G306" s="53"/>
      <c r="H306" s="160"/>
      <c r="I306" s="160"/>
      <c r="J306" s="160"/>
      <c r="K306" s="161"/>
      <c r="L306" s="160"/>
      <c r="M306" s="160"/>
      <c r="N306" s="160"/>
      <c r="O306" s="160"/>
      <c r="P306" s="160"/>
      <c r="R306" s="158"/>
      <c r="S306" s="158"/>
      <c r="T306" s="158"/>
      <c r="U306" s="158"/>
      <c r="V306" s="158"/>
      <c r="W306" s="158"/>
      <c r="X306" s="158"/>
      <c r="Y306" s="158"/>
      <c r="Z306" s="158"/>
      <c r="AA306" s="57"/>
      <c r="AB306" s="57"/>
      <c r="AC306" s="57" t="s">
        <v>187</v>
      </c>
      <c r="AD306" s="57" t="s">
        <v>24</v>
      </c>
      <c r="AE306" s="58" t="str">
        <f>IF(Z303&lt;&gt;"",VLOOKUP(Z303,'Team Setup'!$B$5:$C$63,2,FALSE),"")</f>
        <v/>
      </c>
      <c r="AF306" s="9"/>
      <c r="DC306" s="3"/>
      <c r="DD306" s="37"/>
    </row>
    <row r="307" spans="2:108" ht="15" customHeight="1">
      <c r="B307" s="7"/>
      <c r="C307" s="53"/>
      <c r="D307" s="53"/>
      <c r="E307" s="53"/>
      <c r="F307" s="52" t="str">
        <f>IF(H303&lt;&gt;"",VLOOKUP(H303,'Team Setup'!$B$5:$D$63,3,FALSE),"")</f>
        <v/>
      </c>
      <c r="G307" s="53"/>
      <c r="H307" s="17"/>
      <c r="I307" s="17"/>
      <c r="J307" s="17"/>
      <c r="K307" s="170"/>
      <c r="L307" s="17"/>
      <c r="M307" s="17"/>
      <c r="N307" s="17" t="s">
        <v>186</v>
      </c>
      <c r="O307" s="17" t="s">
        <v>24</v>
      </c>
      <c r="P307" s="19" t="str">
        <f>IF(AND(P308&lt;&gt;"",R308&lt;&gt;""),IF(AND(V305&lt;&gt;"",X305&lt;&gt;"",V305&gt;X305),N308&amp;" win on Penalty Kick",IF(AND(V305&lt;&gt;"",X305&lt;&gt;"",V305&lt;X305),T308&amp;" win on Penalty Kick",IF(P308&gt;R308,N308&amp;" win",IF(R308&gt;P308,T308&amp;" win",IF(AND(P308=R308,L303&gt;V303),T308&amp;" win on away goals",IF(AND(P308=R308,L303&lt;V303+V304),N308&amp;" win on away goals","")))))),"")</f>
        <v/>
      </c>
      <c r="Q307" s="19"/>
      <c r="R307" s="19"/>
      <c r="S307" s="17"/>
      <c r="T307" s="17"/>
      <c r="U307" s="17"/>
      <c r="V307" s="17"/>
      <c r="W307" s="17"/>
      <c r="X307" s="17"/>
      <c r="Y307" s="17"/>
      <c r="Z307" s="17"/>
      <c r="AA307" s="57"/>
      <c r="AB307" s="57"/>
      <c r="AC307" s="57"/>
      <c r="AD307" s="57"/>
      <c r="AE307" s="58" t="str">
        <f>IF(Z303&lt;&gt;"",VLOOKUP(Z303,'Team Setup'!$B$5:$D$63,3,FALSE),"")</f>
        <v/>
      </c>
      <c r="AF307" s="9"/>
      <c r="DC307" s="3"/>
      <c r="DD307" s="37"/>
    </row>
    <row r="308" spans="2:108" ht="15" customHeight="1">
      <c r="B308" s="7"/>
      <c r="C308" s="53"/>
      <c r="D308" s="53"/>
      <c r="E308" s="53"/>
      <c r="F308" s="53"/>
      <c r="G308" s="53"/>
      <c r="H308" s="6"/>
      <c r="I308" s="6"/>
      <c r="J308" s="169"/>
      <c r="K308" s="20"/>
      <c r="L308" s="21"/>
      <c r="M308" s="169"/>
      <c r="N308" s="22" t="str">
        <f>H303</f>
        <v/>
      </c>
      <c r="O308" s="4"/>
      <c r="P308" s="23" t="str">
        <f>IF(AND(L303&lt;&gt;"",V303&lt;&gt;"",X303&lt;&gt;"",J303&lt;&gt;""),J303+V303+V304,"")</f>
        <v/>
      </c>
      <c r="Q308" s="24" t="s">
        <v>4</v>
      </c>
      <c r="R308" s="23" t="str">
        <f>IF(AND(L303&lt;&gt;"",V303&lt;&gt;"",X303&lt;&gt;"",J303&lt;&gt;""),L303+X303+X304,"")</f>
        <v/>
      </c>
      <c r="S308" s="4"/>
      <c r="T308" s="4" t="str">
        <f>Z303</f>
        <v/>
      </c>
      <c r="U308" s="6"/>
      <c r="V308" s="6"/>
      <c r="W308" s="6"/>
      <c r="X308" s="6"/>
      <c r="Y308" s="6"/>
      <c r="Z308" s="6"/>
      <c r="AA308" s="57"/>
      <c r="AB308" s="57"/>
      <c r="AC308" s="57"/>
      <c r="AD308" s="57"/>
      <c r="AE308" s="57"/>
      <c r="AF308" s="9"/>
      <c r="DC308" s="3"/>
      <c r="DD308" s="37"/>
    </row>
    <row r="309" spans="2:108" ht="15" customHeight="1">
      <c r="B309" s="7"/>
      <c r="G309" s="6"/>
      <c r="H309" s="6"/>
      <c r="I309" s="6"/>
      <c r="J309" s="6"/>
      <c r="K309" s="169"/>
      <c r="L309" s="6"/>
      <c r="M309" s="6"/>
      <c r="N309" s="6"/>
      <c r="O309" s="6"/>
      <c r="P309" s="6"/>
      <c r="Q309" s="6"/>
      <c r="R309" s="6"/>
      <c r="S309" s="6"/>
      <c r="T309" s="6"/>
      <c r="U309" s="6"/>
      <c r="V309" s="6"/>
      <c r="W309" s="6"/>
      <c r="X309" s="6"/>
      <c r="Y309" s="6"/>
      <c r="Z309" s="6"/>
      <c r="AA309" s="6"/>
      <c r="AD309" s="6"/>
      <c r="AE309" s="6"/>
      <c r="AF309" s="9"/>
      <c r="DC309" s="3"/>
      <c r="DD309" s="37"/>
    </row>
    <row r="310" spans="2:108" ht="15" customHeight="1">
      <c r="B310" s="7"/>
      <c r="C310" s="234" t="s">
        <v>185</v>
      </c>
      <c r="D310" s="234"/>
      <c r="E310" s="234"/>
      <c r="F310" s="234"/>
      <c r="G310" s="234"/>
      <c r="H310" s="234"/>
      <c r="I310" s="234"/>
      <c r="J310" s="234"/>
      <c r="K310" s="234"/>
      <c r="L310" s="234"/>
      <c r="M310" s="234"/>
      <c r="N310" s="234"/>
      <c r="O310" s="234"/>
      <c r="P310" s="234"/>
      <c r="Q310" s="6"/>
      <c r="R310" s="235" t="s">
        <v>184</v>
      </c>
      <c r="S310" s="235"/>
      <c r="T310" s="235"/>
      <c r="U310" s="235"/>
      <c r="V310" s="235"/>
      <c r="W310" s="235"/>
      <c r="X310" s="235"/>
      <c r="Y310" s="235"/>
      <c r="Z310" s="235"/>
      <c r="AA310" s="235"/>
      <c r="AB310" s="235"/>
      <c r="AC310" s="235"/>
      <c r="AD310" s="235"/>
      <c r="AE310" s="235"/>
      <c r="AF310" s="9"/>
      <c r="DC310" s="3"/>
      <c r="DD310" s="37"/>
    </row>
    <row r="311" spans="2:108" ht="15" customHeight="1">
      <c r="B311" s="7"/>
      <c r="C311" s="51"/>
      <c r="D311" s="51"/>
      <c r="E311" s="51"/>
      <c r="F311" s="51"/>
      <c r="G311" s="51"/>
      <c r="H311" s="51"/>
      <c r="I311" s="51"/>
      <c r="J311" s="51"/>
      <c r="K311" s="51"/>
      <c r="L311" s="51"/>
      <c r="M311" s="51"/>
      <c r="N311" s="51"/>
      <c r="O311" s="51"/>
      <c r="P311" s="51"/>
      <c r="Q311" s="4"/>
      <c r="R311" s="57"/>
      <c r="S311" s="57"/>
      <c r="T311" s="57"/>
      <c r="U311" s="57"/>
      <c r="V311" s="57"/>
      <c r="W311" s="57"/>
      <c r="X311" s="57"/>
      <c r="Y311" s="57"/>
      <c r="Z311" s="57"/>
      <c r="AA311" s="57"/>
      <c r="AB311" s="57"/>
      <c r="AC311" s="57"/>
      <c r="AD311" s="57"/>
      <c r="AE311" s="57"/>
      <c r="AF311" s="9"/>
      <c r="DC311" s="3"/>
      <c r="DD311" s="37"/>
    </row>
    <row r="312" spans="2:108" ht="15" customHeight="1">
      <c r="B312" s="7"/>
      <c r="C312" s="53"/>
      <c r="D312" s="53" t="s">
        <v>206</v>
      </c>
      <c r="E312" s="53"/>
      <c r="F312" s="54"/>
      <c r="G312" s="55"/>
      <c r="H312" s="68" t="str">
        <f>IF(T248&lt;&gt;"",T248,"")</f>
        <v/>
      </c>
      <c r="I312" s="53"/>
      <c r="J312" s="52"/>
      <c r="K312" s="52" t="s">
        <v>4</v>
      </c>
      <c r="L312" s="52"/>
      <c r="M312" s="53"/>
      <c r="N312" s="69" t="str">
        <f>Z312</f>
        <v/>
      </c>
      <c r="O312" s="53"/>
      <c r="P312" s="53"/>
      <c r="Q312" s="6"/>
      <c r="R312" s="57"/>
      <c r="S312" s="57"/>
      <c r="T312" s="66" t="str">
        <f>H312</f>
        <v/>
      </c>
      <c r="U312" s="57"/>
      <c r="V312" s="58"/>
      <c r="W312" s="58" t="s">
        <v>4</v>
      </c>
      <c r="X312" s="58"/>
      <c r="Y312" s="57"/>
      <c r="Z312" s="67" t="str">
        <f>IF(Z248&lt;&gt;"",Z248,"")</f>
        <v/>
      </c>
      <c r="AA312" s="57"/>
      <c r="AB312" s="57"/>
      <c r="AC312" s="57" t="str">
        <f>D312</f>
        <v>Semi Final 2</v>
      </c>
      <c r="AD312" s="57"/>
      <c r="AE312" s="59"/>
      <c r="AF312" s="9"/>
      <c r="DC312" s="3"/>
      <c r="DD312" s="37"/>
    </row>
    <row r="313" spans="2:108" ht="15" customHeight="1">
      <c r="B313" s="7"/>
      <c r="C313" s="53"/>
      <c r="D313" s="53" t="s">
        <v>1</v>
      </c>
      <c r="E313" s="53" t="s">
        <v>24</v>
      </c>
      <c r="F313" s="56"/>
      <c r="G313" s="53"/>
      <c r="H313" s="53"/>
      <c r="I313" s="53"/>
      <c r="J313" s="53"/>
      <c r="K313" s="52"/>
      <c r="L313" s="53"/>
      <c r="M313" s="53"/>
      <c r="N313" s="53"/>
      <c r="O313" s="53"/>
      <c r="P313" s="53"/>
      <c r="Q313" s="6"/>
      <c r="R313" s="57"/>
      <c r="S313" s="57"/>
      <c r="T313" s="57"/>
      <c r="U313" s="162" t="s">
        <v>223</v>
      </c>
      <c r="V313" s="58"/>
      <c r="W313" s="162" t="s">
        <v>4</v>
      </c>
      <c r="X313" s="58"/>
      <c r="Y313" s="57"/>
      <c r="Z313" s="57"/>
      <c r="AA313" s="57"/>
      <c r="AB313" s="57"/>
      <c r="AC313" s="57" t="s">
        <v>1</v>
      </c>
      <c r="AD313" s="57" t="s">
        <v>24</v>
      </c>
      <c r="AE313" s="60"/>
      <c r="AF313" s="9"/>
      <c r="DC313" s="3"/>
      <c r="DD313" s="37"/>
    </row>
    <row r="314" spans="2:108" ht="15" customHeight="1">
      <c r="B314" s="7"/>
      <c r="C314" s="53"/>
      <c r="D314" s="53" t="s">
        <v>2</v>
      </c>
      <c r="E314" s="53" t="s">
        <v>24</v>
      </c>
      <c r="F314" s="52" t="str">
        <f>IF(H311&lt;&gt;"",VLOOKUP(H311,'Team Setup'!$B$5:$C$63,2,FALSE),"")</f>
        <v/>
      </c>
      <c r="G314" s="53"/>
      <c r="H314" s="160"/>
      <c r="I314" s="160"/>
      <c r="J314" s="160"/>
      <c r="K314" s="161"/>
      <c r="L314" s="160"/>
      <c r="M314" s="160"/>
      <c r="N314" s="160"/>
      <c r="O314" s="160"/>
      <c r="P314" s="160"/>
      <c r="R314" s="158"/>
      <c r="S314" s="158"/>
      <c r="T314" s="158"/>
      <c r="U314" s="163" t="s">
        <v>222</v>
      </c>
      <c r="V314" s="159"/>
      <c r="W314" s="162" t="s">
        <v>4</v>
      </c>
      <c r="X314" s="159"/>
      <c r="Y314" s="158"/>
      <c r="Z314" s="158"/>
      <c r="AA314" s="57"/>
      <c r="AB314" s="57"/>
      <c r="AC314" s="57" t="s">
        <v>2</v>
      </c>
      <c r="AD314" s="57" t="s">
        <v>24</v>
      </c>
      <c r="AE314" s="58"/>
      <c r="AF314" s="9"/>
      <c r="DC314" s="3"/>
      <c r="DD314" s="37"/>
    </row>
    <row r="315" spans="2:108" ht="15" customHeight="1">
      <c r="B315" s="7"/>
      <c r="C315" s="53"/>
      <c r="D315" s="53" t="s">
        <v>187</v>
      </c>
      <c r="E315" s="53" t="s">
        <v>24</v>
      </c>
      <c r="F315" s="52" t="str">
        <f>IF(H311&lt;&gt;"",VLOOKUP(H311,'Team Setup'!$B$5:$D$63,3,FALSE),"")</f>
        <v/>
      </c>
      <c r="G315" s="53"/>
      <c r="H315" s="160"/>
      <c r="I315" s="160"/>
      <c r="J315" s="160"/>
      <c r="K315" s="161"/>
      <c r="L315" s="160"/>
      <c r="M315" s="160"/>
      <c r="N315" s="160"/>
      <c r="O315" s="160"/>
      <c r="P315" s="160"/>
      <c r="R315" s="158"/>
      <c r="S315" s="158"/>
      <c r="T315" s="158"/>
      <c r="U315" s="158"/>
      <c r="V315" s="158"/>
      <c r="W315" s="158"/>
      <c r="X315" s="158"/>
      <c r="Y315" s="158"/>
      <c r="Z315" s="158"/>
      <c r="AA315" s="57"/>
      <c r="AB315" s="57"/>
      <c r="AC315" s="57" t="s">
        <v>187</v>
      </c>
      <c r="AD315" s="57" t="s">
        <v>24</v>
      </c>
      <c r="AE315" s="58" t="str">
        <f>IF(Z312&lt;&gt;"",VLOOKUP(Z312,'Team Setup'!$B$5:$C$63,2,FALSE),"")</f>
        <v/>
      </c>
      <c r="AF315" s="9"/>
      <c r="DC315" s="3"/>
      <c r="DD315" s="37"/>
    </row>
    <row r="316" spans="2:108" ht="15" customHeight="1">
      <c r="B316" s="7"/>
      <c r="C316" s="53"/>
      <c r="D316" s="53"/>
      <c r="E316" s="53"/>
      <c r="F316" s="52" t="str">
        <f>IF(H312&lt;&gt;"",VLOOKUP(H312,'Team Setup'!$B$5:$D$63,3,FALSE),"")</f>
        <v/>
      </c>
      <c r="G316" s="53"/>
      <c r="H316" s="17"/>
      <c r="I316" s="17"/>
      <c r="J316" s="17"/>
      <c r="K316" s="170"/>
      <c r="L316" s="17"/>
      <c r="M316" s="17"/>
      <c r="N316" s="17" t="s">
        <v>186</v>
      </c>
      <c r="O316" s="17" t="s">
        <v>24</v>
      </c>
      <c r="P316" s="19" t="str">
        <f>IF(AND(P317&lt;&gt;"",R317&lt;&gt;""),IF(AND(V314&lt;&gt;"",X314&lt;&gt;"",V314&gt;X314),N317&amp;" win on Penalty Kick",IF(AND(V314&lt;&gt;"",X314&lt;&gt;"",V314&lt;X314),T317&amp;" win on Penalty Kick",IF(P317&gt;R317,N317&amp;" win",IF(R317&gt;P317,T317&amp;" win",IF(AND(P317=R317,L312&gt;V312),T317&amp;" win on away goals",IF(AND(P317=R317,L312&lt;V312+V313),N317&amp;" win on away goals","")))))),"")</f>
        <v/>
      </c>
      <c r="Q316" s="19"/>
      <c r="R316" s="19"/>
      <c r="S316" s="17"/>
      <c r="T316" s="17"/>
      <c r="U316" s="17"/>
      <c r="V316" s="17"/>
      <c r="W316" s="17"/>
      <c r="X316" s="17"/>
      <c r="Y316" s="17"/>
      <c r="Z316" s="17"/>
      <c r="AA316" s="57"/>
      <c r="AB316" s="57"/>
      <c r="AC316" s="57"/>
      <c r="AD316" s="57"/>
      <c r="AE316" s="58" t="str">
        <f>IF(Z312&lt;&gt;"",VLOOKUP(Z312,'Team Setup'!$B$5:$D$63,3,FALSE),"")</f>
        <v/>
      </c>
      <c r="AF316" s="9"/>
      <c r="DC316" s="3"/>
      <c r="DD316" s="37"/>
    </row>
    <row r="317" spans="2:108" ht="15" customHeight="1">
      <c r="B317" s="7"/>
      <c r="C317" s="53"/>
      <c r="D317" s="53"/>
      <c r="E317" s="53"/>
      <c r="F317" s="53"/>
      <c r="G317" s="53"/>
      <c r="H317" s="6"/>
      <c r="I317" s="6"/>
      <c r="J317" s="169"/>
      <c r="K317" s="20"/>
      <c r="L317" s="21"/>
      <c r="M317" s="169"/>
      <c r="N317" s="22" t="str">
        <f>H312</f>
        <v/>
      </c>
      <c r="O317" s="4"/>
      <c r="P317" s="23" t="str">
        <f>IF(AND(L312&lt;&gt;"",V312&lt;&gt;"",X312&lt;&gt;"",J312&lt;&gt;""),J312+V312+V313,"")</f>
        <v/>
      </c>
      <c r="Q317" s="24" t="s">
        <v>4</v>
      </c>
      <c r="R317" s="23" t="str">
        <f>IF(AND(L312&lt;&gt;"",V312&lt;&gt;"",X312&lt;&gt;"",J312&lt;&gt;""),L312+X312+X313,"")</f>
        <v/>
      </c>
      <c r="S317" s="4"/>
      <c r="T317" s="4" t="str">
        <f>Z312</f>
        <v/>
      </c>
      <c r="U317" s="6"/>
      <c r="V317" s="6"/>
      <c r="W317" s="6"/>
      <c r="X317" s="6"/>
      <c r="Y317" s="6"/>
      <c r="Z317" s="6"/>
      <c r="AA317" s="57"/>
      <c r="AB317" s="57"/>
      <c r="AC317" s="57"/>
      <c r="AD317" s="57"/>
      <c r="AE317" s="57"/>
      <c r="AF317" s="9"/>
      <c r="DC317" s="3"/>
      <c r="DD317" s="37"/>
    </row>
    <row r="318" spans="2:108" ht="15" customHeight="1">
      <c r="B318" s="7"/>
      <c r="G318" s="6"/>
      <c r="H318" s="6"/>
      <c r="I318" s="6"/>
      <c r="J318" s="6"/>
      <c r="K318" s="169"/>
      <c r="L318" s="6"/>
      <c r="M318" s="6"/>
      <c r="N318" s="6"/>
      <c r="O318" s="6"/>
      <c r="P318" s="6"/>
      <c r="Q318" s="6"/>
      <c r="R318" s="6"/>
      <c r="S318" s="6"/>
      <c r="T318" s="6"/>
      <c r="U318" s="6"/>
      <c r="V318" s="6"/>
      <c r="W318" s="6"/>
      <c r="X318" s="6"/>
      <c r="Y318" s="6"/>
      <c r="Z318" s="6"/>
      <c r="AA318" s="6"/>
      <c r="AD318" s="6"/>
      <c r="AE318" s="6"/>
      <c r="AF318" s="9"/>
      <c r="DC318" s="3"/>
      <c r="DD318" s="37"/>
    </row>
    <row r="319" spans="2:108" ht="15" customHeight="1">
      <c r="B319" s="244" t="s">
        <v>23</v>
      </c>
      <c r="C319" s="243"/>
      <c r="D319" s="243"/>
      <c r="E319" s="243"/>
      <c r="F319" s="243"/>
      <c r="G319" s="243"/>
      <c r="H319" s="243"/>
      <c r="I319" s="243"/>
      <c r="J319" s="243"/>
      <c r="K319" s="243"/>
      <c r="L319" s="243"/>
      <c r="M319" s="243"/>
      <c r="N319" s="243"/>
      <c r="O319" s="243"/>
      <c r="P319" s="243"/>
      <c r="Q319" s="243"/>
      <c r="R319" s="243"/>
      <c r="S319" s="243"/>
      <c r="T319" s="243"/>
      <c r="U319" s="243"/>
      <c r="V319" s="243"/>
      <c r="W319" s="243"/>
      <c r="X319" s="243"/>
      <c r="Y319" s="243"/>
      <c r="Z319" s="243"/>
      <c r="AA319" s="243"/>
      <c r="AB319" s="243"/>
      <c r="AC319" s="243"/>
      <c r="AD319" s="243"/>
      <c r="AE319" s="243"/>
      <c r="AF319" s="245"/>
      <c r="DC319" s="3"/>
      <c r="DD319" s="37"/>
    </row>
    <row r="320" spans="2:108" ht="15" customHeight="1">
      <c r="B320" s="7"/>
      <c r="G320" s="6"/>
      <c r="H320" s="6"/>
      <c r="I320" s="6"/>
      <c r="J320" s="6"/>
      <c r="K320" s="8"/>
      <c r="L320" s="6"/>
      <c r="M320" s="6"/>
      <c r="N320" s="6"/>
      <c r="O320" s="6"/>
      <c r="P320" s="6"/>
      <c r="Q320" s="6"/>
      <c r="R320" s="6"/>
      <c r="S320" s="6"/>
      <c r="T320" s="6"/>
      <c r="U320" s="6"/>
      <c r="V320" s="6"/>
      <c r="W320" s="6"/>
      <c r="X320" s="6"/>
      <c r="Y320" s="6"/>
      <c r="Z320" s="6"/>
      <c r="AA320" s="6"/>
      <c r="AE320" s="6"/>
      <c r="AF320" s="9"/>
      <c r="DC320" s="3"/>
      <c r="DD320" s="37"/>
    </row>
    <row r="321" spans="1:108" ht="21.75" customHeight="1">
      <c r="B321" s="7"/>
      <c r="G321" s="6"/>
      <c r="H321" s="40"/>
      <c r="I321" s="41"/>
      <c r="J321" s="41"/>
      <c r="K321" s="42"/>
      <c r="L321" s="41"/>
      <c r="M321" s="41"/>
      <c r="N321" s="41"/>
      <c r="O321" s="41"/>
      <c r="P321" s="41"/>
      <c r="Q321" s="42" t="s">
        <v>442</v>
      </c>
      <c r="R321" s="41"/>
      <c r="S321" s="41"/>
      <c r="T321" s="41"/>
      <c r="U321" s="41"/>
      <c r="V321" s="41"/>
      <c r="W321" s="41"/>
      <c r="X321" s="41"/>
      <c r="Y321" s="41"/>
      <c r="Z321" s="43"/>
      <c r="AA321" s="6"/>
      <c r="AE321" s="6"/>
      <c r="AF321" s="9"/>
      <c r="DC321" s="3"/>
      <c r="DD321" s="37" t="s">
        <v>111</v>
      </c>
    </row>
    <row r="322" spans="1:108" ht="18" customHeight="1">
      <c r="B322" s="7"/>
      <c r="G322" s="6"/>
      <c r="H322" s="7"/>
      <c r="I322" s="6"/>
      <c r="J322" s="8"/>
      <c r="K322" s="20"/>
      <c r="L322" s="21"/>
      <c r="M322" s="8"/>
      <c r="N322" s="44" t="str">
        <f>IF(AND(P308&lt;&gt;"",R308&lt;&gt;""),IF(AND(V305&lt;&gt;"",X305&lt;&gt;"",V305&gt;X305),N308,IF(AND(V305&lt;&gt;"",X305&lt;&gt;"",V305&lt;X305),T308,IF(P308&gt;R308,N308,IF(R308&gt;P308,T308,IF(AND(P308=R308,L303&gt;V303),T308,IF(AND(P308=R308,L303&lt;V303+V304),N308,"")))))),"")</f>
        <v/>
      </c>
      <c r="O322" s="8"/>
      <c r="P322" s="164" t="str">
        <f>IF(P323="","",IF(AND(P323=R323,P323&lt;&gt;"",R323&lt;&gt;""),IF(AND(L319=V319,J319=X319),IF(AND(P324=R324,P324&lt;&gt;"",R324&lt;&gt;""),IF(AND(P325=R325,P325&lt;&gt;"",R325&lt;&gt;""),"",P323+P324),P323+P324),P323),P323))</f>
        <v/>
      </c>
      <c r="Q322" s="24" t="s">
        <v>4</v>
      </c>
      <c r="R322" s="164" t="str">
        <f>IF(R323="","",IF(AND(P323=R323,P323&lt;&gt;"",R323&lt;&gt;""),IF(AND(L319=V319,J319=X319),IF(AND(P324=R324,P324&lt;&gt;"",R324&lt;&gt;""),IF(AND(P325=R325,P325&lt;&gt;"",R325&lt;&gt;""),"",R323+R324),R323+R324),R323),R323))</f>
        <v/>
      </c>
      <c r="S322" s="8"/>
      <c r="T322" s="45" t="str">
        <f>IF(AND(P317&lt;&gt;"",R317&lt;&gt;""),IF(AND(V314&lt;&gt;"",X314&lt;&gt;"",V314&gt;X314),N317,IF(AND(V314&lt;&gt;"",X314&lt;&gt;"",V314&lt;X314),T317,IF(P317&gt;R317,N317,IF(R317&gt;P317,T317,IF(AND(P317=R317,L312&gt;V312),T317,IF(AND(P317=R317,L312&lt;V312+V313),N317,"")))))),"")</f>
        <v/>
      </c>
      <c r="U322" s="6"/>
      <c r="V322" s="6"/>
      <c r="W322" s="6"/>
      <c r="X322" s="6"/>
      <c r="Y322" s="6"/>
      <c r="Z322" s="9"/>
      <c r="AA322" s="6"/>
      <c r="AF322" s="9"/>
      <c r="DC322" s="3"/>
      <c r="DD322" s="37" t="s">
        <v>112</v>
      </c>
    </row>
    <row r="323" spans="1:108" ht="18" customHeight="1">
      <c r="B323" s="7"/>
      <c r="G323" s="6"/>
      <c r="H323" s="7"/>
      <c r="I323" s="6"/>
      <c r="J323" s="6"/>
      <c r="K323" s="25"/>
      <c r="L323" s="21"/>
      <c r="M323" s="6"/>
      <c r="N323" s="26" t="s">
        <v>50</v>
      </c>
      <c r="O323" s="26"/>
      <c r="P323" s="14"/>
      <c r="Q323" s="14" t="s">
        <v>4</v>
      </c>
      <c r="R323" s="14"/>
      <c r="S323" s="6"/>
      <c r="T323" s="6"/>
      <c r="U323" s="6"/>
      <c r="V323" s="6"/>
      <c r="W323" s="6"/>
      <c r="X323" s="6"/>
      <c r="Y323" s="6"/>
      <c r="Z323" s="9"/>
      <c r="AA323" s="6"/>
      <c r="AF323" s="9"/>
      <c r="DC323" s="3"/>
      <c r="DD323" s="37" t="s">
        <v>113</v>
      </c>
    </row>
    <row r="324" spans="1:108" ht="18" customHeight="1">
      <c r="B324" s="7"/>
      <c r="G324" s="6"/>
      <c r="H324" s="7"/>
      <c r="I324" s="6"/>
      <c r="J324" s="6"/>
      <c r="K324" s="25"/>
      <c r="L324" s="21"/>
      <c r="M324" s="6"/>
      <c r="N324" s="26" t="s">
        <v>51</v>
      </c>
      <c r="O324" s="26"/>
      <c r="P324" s="14"/>
      <c r="Q324" s="14" t="s">
        <v>4</v>
      </c>
      <c r="R324" s="14"/>
      <c r="S324" s="6"/>
      <c r="T324" s="6"/>
      <c r="U324" s="6"/>
      <c r="V324" s="6"/>
      <c r="W324" s="6"/>
      <c r="X324" s="6"/>
      <c r="Y324" s="6"/>
      <c r="Z324" s="9"/>
      <c r="AA324" s="6"/>
      <c r="AF324" s="9"/>
      <c r="DC324" s="3"/>
      <c r="DD324" s="37" t="s">
        <v>114</v>
      </c>
    </row>
    <row r="325" spans="1:108" ht="18" customHeight="1">
      <c r="B325" s="7"/>
      <c r="G325" s="6"/>
      <c r="H325" s="7"/>
      <c r="I325" s="6"/>
      <c r="J325" s="6"/>
      <c r="K325" s="25"/>
      <c r="L325" s="21"/>
      <c r="M325" s="6"/>
      <c r="N325" s="26" t="s">
        <v>52</v>
      </c>
      <c r="O325" s="26"/>
      <c r="P325" s="14"/>
      <c r="Q325" s="14" t="s">
        <v>4</v>
      </c>
      <c r="R325" s="14"/>
      <c r="S325" s="6"/>
      <c r="T325" s="6"/>
      <c r="U325" s="6"/>
      <c r="V325" s="6"/>
      <c r="W325" s="6"/>
      <c r="X325" s="6"/>
      <c r="Y325" s="6"/>
      <c r="Z325" s="9"/>
      <c r="AA325" s="6"/>
      <c r="AF325" s="9"/>
      <c r="DC325" s="3"/>
      <c r="DD325" s="37" t="s">
        <v>115</v>
      </c>
    </row>
    <row r="326" spans="1:108" ht="6" customHeight="1">
      <c r="B326" s="7"/>
      <c r="G326" s="6"/>
      <c r="H326" s="46"/>
      <c r="I326" s="47"/>
      <c r="J326" s="47"/>
      <c r="K326" s="48"/>
      <c r="L326" s="47"/>
      <c r="M326" s="47"/>
      <c r="N326" s="47"/>
      <c r="O326" s="47"/>
      <c r="P326" s="47"/>
      <c r="Q326" s="47"/>
      <c r="R326" s="47"/>
      <c r="S326" s="47"/>
      <c r="T326" s="47"/>
      <c r="U326" s="47"/>
      <c r="V326" s="47"/>
      <c r="W326" s="47"/>
      <c r="X326" s="47"/>
      <c r="Y326" s="47"/>
      <c r="Z326" s="49"/>
      <c r="AA326" s="6"/>
      <c r="AF326" s="9"/>
      <c r="DC326" s="3"/>
      <c r="DD326" s="37" t="s">
        <v>116</v>
      </c>
    </row>
    <row r="327" spans="1:108">
      <c r="B327" s="7"/>
      <c r="G327" s="6"/>
      <c r="H327" s="6"/>
      <c r="I327" s="6"/>
      <c r="J327" s="6"/>
      <c r="K327" s="8"/>
      <c r="L327" s="6"/>
      <c r="M327" s="6"/>
      <c r="N327" s="6"/>
      <c r="O327" s="6"/>
      <c r="P327" s="6"/>
      <c r="Q327" s="6"/>
      <c r="R327" s="6"/>
      <c r="S327" s="6"/>
      <c r="T327" s="6"/>
      <c r="U327" s="6"/>
      <c r="V327" s="6"/>
      <c r="W327" s="6"/>
      <c r="X327" s="6"/>
      <c r="Y327" s="6"/>
      <c r="Z327" s="6"/>
      <c r="AA327" s="6"/>
      <c r="AF327" s="9"/>
      <c r="DC327" s="3"/>
      <c r="DD327" s="37" t="s">
        <v>117</v>
      </c>
    </row>
    <row r="328" spans="1:108">
      <c r="B328" s="7"/>
      <c r="G328" s="6"/>
      <c r="H328" s="6"/>
      <c r="I328" s="6"/>
      <c r="J328" s="6"/>
      <c r="K328" s="6"/>
      <c r="L328" s="6"/>
      <c r="M328" s="6"/>
      <c r="N328" s="6"/>
      <c r="O328" s="6"/>
      <c r="P328" s="92" t="s">
        <v>441</v>
      </c>
      <c r="Q328" s="6"/>
      <c r="R328" s="6"/>
      <c r="S328" s="6"/>
      <c r="T328" s="6"/>
      <c r="U328" s="6"/>
      <c r="V328" s="6"/>
      <c r="W328" s="6"/>
      <c r="X328" s="6"/>
      <c r="Y328" s="6"/>
      <c r="Z328" s="6"/>
      <c r="AA328" s="6"/>
      <c r="AF328" s="9"/>
      <c r="DC328" s="3"/>
      <c r="DD328" s="37" t="s">
        <v>118</v>
      </c>
    </row>
    <row r="329" spans="1:108" ht="45">
      <c r="B329" s="7"/>
      <c r="F329" s="75"/>
      <c r="G329" s="6"/>
      <c r="H329" s="6"/>
      <c r="I329" s="6"/>
      <c r="J329" s="6"/>
      <c r="K329" s="6"/>
      <c r="L329" s="6"/>
      <c r="M329" s="6"/>
      <c r="N329" s="6"/>
      <c r="O329" s="6"/>
      <c r="P329" s="74" t="str">
        <f>IF(AND(P322&lt;&gt;"",R322&lt;&gt;""),IF(P323+P324+P325&gt;R323+R324+R325,UPPER(N322),IF(P323+P324+P325&lt;R323+R324+R325,UPPER(T322),"")),"")</f>
        <v/>
      </c>
      <c r="Q329" s="6"/>
      <c r="R329" s="6"/>
      <c r="S329" s="6"/>
      <c r="T329" s="6"/>
      <c r="U329" s="6"/>
      <c r="V329" s="6"/>
      <c r="W329" s="6"/>
      <c r="X329" s="6"/>
      <c r="Y329" s="6"/>
      <c r="Z329" s="6"/>
      <c r="AA329" s="6"/>
      <c r="AF329" s="9"/>
      <c r="DC329" s="3"/>
      <c r="DD329" s="37" t="s">
        <v>119</v>
      </c>
    </row>
    <row r="330" spans="1:108">
      <c r="A330" s="9"/>
      <c r="B330" s="149" t="s">
        <v>345</v>
      </c>
      <c r="G330" s="6"/>
      <c r="H330" s="6"/>
      <c r="I330" s="6"/>
      <c r="J330" s="6"/>
      <c r="K330" s="6"/>
      <c r="L330" s="6"/>
      <c r="M330" s="6"/>
      <c r="N330" s="6"/>
      <c r="O330" s="6"/>
      <c r="P330" s="6"/>
      <c r="Q330" s="6"/>
      <c r="R330" s="6"/>
      <c r="S330" s="6"/>
      <c r="T330" s="6"/>
      <c r="U330" s="6"/>
      <c r="V330" s="6"/>
      <c r="W330" s="6"/>
      <c r="X330" s="6"/>
      <c r="Y330" s="6"/>
      <c r="Z330" s="6"/>
      <c r="AA330" s="6"/>
      <c r="AF330" s="9"/>
      <c r="DC330" s="3"/>
      <c r="DD330" s="37" t="s">
        <v>120</v>
      </c>
    </row>
    <row r="331" spans="1:108">
      <c r="B331" s="147"/>
      <c r="C331" s="147"/>
      <c r="D331" s="147"/>
      <c r="E331" s="147"/>
      <c r="F331" s="147"/>
      <c r="G331" s="147"/>
      <c r="H331" s="147"/>
      <c r="I331" s="147"/>
      <c r="J331" s="147"/>
      <c r="K331" s="147"/>
      <c r="L331" s="147"/>
      <c r="M331" s="147"/>
      <c r="N331" s="147"/>
      <c r="O331" s="147"/>
      <c r="P331" s="147"/>
      <c r="Q331" s="147"/>
      <c r="R331" s="147"/>
      <c r="S331" s="147"/>
      <c r="T331" s="147"/>
      <c r="U331" s="147"/>
      <c r="V331" s="147"/>
      <c r="W331" s="147"/>
      <c r="X331" s="147"/>
      <c r="Y331" s="147"/>
      <c r="Z331" s="147"/>
      <c r="AA331" s="147"/>
      <c r="AB331" s="147"/>
      <c r="AC331" s="147"/>
      <c r="AD331" s="148"/>
      <c r="AE331" s="148"/>
      <c r="AF331" s="147"/>
      <c r="DC331" s="3"/>
      <c r="DD331" s="37" t="s">
        <v>121</v>
      </c>
    </row>
    <row r="332" spans="1:108">
      <c r="K332" s="1"/>
      <c r="DC332" s="3"/>
      <c r="DD332" s="37" t="s">
        <v>122</v>
      </c>
    </row>
    <row r="333" spans="1:108" hidden="1">
      <c r="DC333" s="3"/>
      <c r="DD333" s="37" t="s">
        <v>123</v>
      </c>
    </row>
    <row r="334" spans="1:108" hidden="1">
      <c r="DC334" s="3"/>
      <c r="DD334" s="37" t="s">
        <v>124</v>
      </c>
    </row>
    <row r="335" spans="1:108" hidden="1">
      <c r="DC335" s="3"/>
      <c r="DD335" s="37" t="s">
        <v>125</v>
      </c>
    </row>
    <row r="336" spans="1:108" hidden="1">
      <c r="N336" s="44"/>
      <c r="O336" s="169"/>
      <c r="P336" s="164"/>
      <c r="Q336" s="24"/>
      <c r="R336" s="164"/>
      <c r="S336" s="169"/>
      <c r="T336" s="45"/>
      <c r="DC336" s="3"/>
      <c r="DD336" s="37" t="s">
        <v>126</v>
      </c>
    </row>
    <row r="337" spans="8:108" hidden="1">
      <c r="N337" s="44"/>
      <c r="O337" s="169"/>
      <c r="P337" s="164"/>
      <c r="Q337" s="24"/>
      <c r="R337" s="164"/>
      <c r="S337" s="169"/>
      <c r="T337" s="45"/>
      <c r="DC337" s="3"/>
      <c r="DD337" s="37" t="s">
        <v>127</v>
      </c>
    </row>
    <row r="338" spans="8:108" hidden="1">
      <c r="N338" s="44"/>
      <c r="O338" s="169"/>
      <c r="P338" s="164"/>
      <c r="Q338" s="24"/>
      <c r="R338" s="164"/>
      <c r="S338" s="169"/>
      <c r="T338" s="45"/>
      <c r="DC338" s="3"/>
      <c r="DD338" s="37" t="s">
        <v>128</v>
      </c>
    </row>
    <row r="339" spans="8:108" hidden="1">
      <c r="H339" s="1" t="str">
        <f t="shared" ref="H339:H340" si="0">IF(AND(P32&lt;&gt;"",R32&lt;&gt;""),IF(AND(V29&lt;&gt;"",X29&lt;&gt;"",V29&gt;X29),N32,IF(AND(V29&lt;&gt;"",X29&lt;&gt;"",V29&lt;X29),T32,IF(P32&gt;R32,N32,IF(R32&gt;P32,T32,IF(AND(P32=R32,L27&gt;V27),T32,IF(AND(P32=R32,L27&lt;V27+V28),N32,"")))))),"")</f>
        <v/>
      </c>
      <c r="N339" s="44"/>
      <c r="O339" s="169"/>
      <c r="P339" s="164"/>
      <c r="Q339" s="24"/>
      <c r="R339" s="164"/>
      <c r="S339" s="169"/>
      <c r="T339" s="45"/>
      <c r="DC339" s="3"/>
      <c r="DD339" s="37" t="s">
        <v>129</v>
      </c>
    </row>
    <row r="340" spans="8:108" hidden="1">
      <c r="H340" s="1" t="str">
        <f t="shared" si="0"/>
        <v/>
      </c>
      <c r="N340" s="44"/>
      <c r="O340" s="169"/>
      <c r="P340" s="164"/>
      <c r="Q340" s="24"/>
      <c r="R340" s="164"/>
      <c r="S340" s="169"/>
      <c r="T340" s="45"/>
      <c r="DC340" s="3"/>
      <c r="DD340" s="37" t="s">
        <v>130</v>
      </c>
    </row>
    <row r="341" spans="8:108" hidden="1">
      <c r="H341" s="1" t="str">
        <f t="shared" ref="H341" si="1">IF(AND(P25&lt;&gt;"",R25&lt;&gt;""),IF(AND(V22&lt;&gt;"",X22&lt;&gt;"",V22&gt;X22),N25,IF(AND(V22&lt;&gt;"",X22&lt;&gt;"",V22&lt;X22),T25,IF(P25&gt;R25,N25,IF(R25&gt;P25,T25,IF(AND(P25=R25,L20&gt;V20),T25,IF(AND(P25=R25,L20&lt;V20+V21),N25,"")))))),"")</f>
        <v/>
      </c>
      <c r="N341" s="44"/>
      <c r="O341" s="169"/>
      <c r="P341" s="164"/>
      <c r="Q341" s="24"/>
      <c r="R341" s="164"/>
      <c r="S341" s="169"/>
      <c r="T341" s="45"/>
      <c r="DC341" s="3"/>
      <c r="DD341" s="37" t="s">
        <v>131</v>
      </c>
    </row>
    <row r="342" spans="8:108" hidden="1">
      <c r="H342" s="1" t="str">
        <f t="shared" ref="H342:H343" si="2">IF(AND(P17&lt;&gt;"",R17&lt;&gt;""),IF(AND(V14&lt;&gt;"",X14&lt;&gt;"",V14&gt;X14),N17,IF(AND(V14&lt;&gt;"",X14&lt;&gt;"",V14&lt;X14),T17,IF(P17&gt;R17,N17,IF(R17&gt;P17,T17,IF(AND(P17=R17,L12&gt;V12),T17,IF(AND(P17=R17,L12&lt;V12+V13),N17,"")))))),"")</f>
        <v/>
      </c>
      <c r="N342" s="44"/>
      <c r="O342" s="169"/>
      <c r="P342" s="164"/>
      <c r="Q342" s="24"/>
      <c r="R342" s="164"/>
      <c r="S342" s="169"/>
      <c r="T342" s="45"/>
      <c r="DC342" s="3"/>
      <c r="DD342" s="37" t="s">
        <v>132</v>
      </c>
    </row>
    <row r="343" spans="8:108" hidden="1">
      <c r="H343" s="1" t="str">
        <f t="shared" si="2"/>
        <v/>
      </c>
      <c r="N343" s="44"/>
      <c r="O343" s="169"/>
      <c r="P343" s="164"/>
      <c r="Q343" s="24"/>
      <c r="R343" s="164"/>
      <c r="S343" s="169"/>
      <c r="T343" s="45"/>
      <c r="DC343" s="3"/>
      <c r="DD343" s="37" t="s">
        <v>133</v>
      </c>
    </row>
    <row r="344" spans="8:108" hidden="1">
      <c r="H344" s="1" t="str">
        <f t="shared" ref="H344:H346" si="3">IF(AND(P10&lt;&gt;"",R10&lt;&gt;""),IF(AND(V7&lt;&gt;"",X7&lt;&gt;"",V7&gt;X7),N10,IF(AND(V7&lt;&gt;"",X7&lt;&gt;"",V7&lt;X7),T10,IF(P10&gt;R10,N10,IF(R10&gt;P10,T10,IF(AND(P10=R10,L5&gt;V5),T10,IF(AND(P10=R10,L5&lt;V5+V6),N10,"")))))),"")</f>
        <v/>
      </c>
      <c r="N344" s="44"/>
      <c r="O344" s="169"/>
      <c r="P344" s="164"/>
      <c r="Q344" s="24"/>
      <c r="R344" s="164"/>
      <c r="S344" s="169"/>
      <c r="T344" s="45"/>
      <c r="DC344" s="3"/>
      <c r="DD344" s="37" t="s">
        <v>134</v>
      </c>
    </row>
    <row r="345" spans="8:108" hidden="1">
      <c r="H345" s="1" t="str">
        <f t="shared" si="3"/>
        <v/>
      </c>
      <c r="N345" s="44"/>
      <c r="O345" s="169"/>
      <c r="P345" s="164"/>
      <c r="Q345" s="24"/>
      <c r="R345" s="164"/>
      <c r="S345" s="169"/>
      <c r="T345" s="45"/>
      <c r="DC345" s="3"/>
      <c r="DD345" s="37" t="s">
        <v>135</v>
      </c>
    </row>
    <row r="346" spans="8:108" hidden="1">
      <c r="H346" s="1" t="str">
        <f t="shared" si="3"/>
        <v/>
      </c>
      <c r="N346" s="44"/>
      <c r="O346" s="169"/>
      <c r="P346" s="164"/>
      <c r="Q346" s="24"/>
      <c r="R346" s="164"/>
      <c r="S346" s="169"/>
      <c r="T346" s="45"/>
      <c r="DC346" s="3"/>
      <c r="DD346" s="37" t="s">
        <v>136</v>
      </c>
    </row>
    <row r="347" spans="8:108" hidden="1">
      <c r="N347" s="44"/>
      <c r="O347" s="169"/>
      <c r="P347" s="164"/>
      <c r="Q347" s="24"/>
      <c r="R347" s="164"/>
      <c r="S347" s="169"/>
      <c r="T347" s="45"/>
      <c r="DC347" s="3"/>
      <c r="DD347" s="37" t="s">
        <v>137</v>
      </c>
    </row>
    <row r="348" spans="8:108" hidden="1">
      <c r="N348" s="44"/>
      <c r="O348" s="169"/>
      <c r="P348" s="164"/>
      <c r="Q348" s="24"/>
      <c r="R348" s="164"/>
      <c r="S348" s="169"/>
      <c r="T348" s="45"/>
      <c r="DC348" s="3"/>
      <c r="DD348" s="37" t="s">
        <v>138</v>
      </c>
    </row>
    <row r="349" spans="8:108" hidden="1">
      <c r="N349" s="44"/>
      <c r="O349" s="169"/>
      <c r="P349" s="164"/>
      <c r="Q349" s="24"/>
      <c r="R349" s="164"/>
      <c r="S349" s="169"/>
      <c r="T349" s="45"/>
      <c r="DC349" s="3"/>
      <c r="DD349" s="37" t="s">
        <v>139</v>
      </c>
    </row>
    <row r="350" spans="8:108" hidden="1">
      <c r="N350" s="44"/>
      <c r="O350" s="169"/>
      <c r="P350" s="164"/>
      <c r="Q350" s="24"/>
      <c r="R350" s="164"/>
      <c r="S350" s="169"/>
      <c r="T350" s="45"/>
      <c r="DC350" s="3"/>
      <c r="DD350" s="37" t="s">
        <v>140</v>
      </c>
    </row>
    <row r="351" spans="8:108" hidden="1">
      <c r="N351" s="44"/>
      <c r="O351" s="169"/>
      <c r="P351" s="164"/>
      <c r="Q351" s="24"/>
      <c r="R351" s="164"/>
      <c r="S351" s="169"/>
      <c r="T351" s="45"/>
      <c r="DC351" s="3"/>
      <c r="DD351" s="37" t="s">
        <v>141</v>
      </c>
    </row>
    <row r="352" spans="8:108" hidden="1">
      <c r="N352" s="44"/>
      <c r="O352" s="169"/>
      <c r="P352" s="164"/>
      <c r="Q352" s="24"/>
      <c r="R352" s="164"/>
      <c r="S352" s="169"/>
      <c r="T352" s="45"/>
      <c r="DC352" s="3"/>
      <c r="DD352" s="37" t="s">
        <v>142</v>
      </c>
    </row>
    <row r="353" spans="14:108" hidden="1">
      <c r="N353" s="44"/>
      <c r="O353" s="169"/>
      <c r="P353" s="164"/>
      <c r="Q353" s="24"/>
      <c r="R353" s="164"/>
      <c r="S353" s="169"/>
      <c r="T353" s="45"/>
      <c r="DC353" s="3"/>
      <c r="DD353" s="37" t="s">
        <v>143</v>
      </c>
    </row>
    <row r="354" spans="14:108" hidden="1">
      <c r="N354" s="44"/>
      <c r="O354" s="169"/>
      <c r="P354" s="164"/>
      <c r="Q354" s="24"/>
      <c r="R354" s="164"/>
      <c r="S354" s="169"/>
      <c r="T354" s="45"/>
      <c r="DC354" s="3"/>
      <c r="DD354" s="37" t="s">
        <v>144</v>
      </c>
    </row>
    <row r="355" spans="14:108" hidden="1">
      <c r="N355" s="44"/>
      <c r="O355" s="169"/>
      <c r="P355" s="164"/>
      <c r="Q355" s="24"/>
      <c r="R355" s="164"/>
      <c r="S355" s="169"/>
      <c r="T355" s="45"/>
      <c r="DC355" s="3"/>
      <c r="DD355" s="37" t="s">
        <v>145</v>
      </c>
    </row>
    <row r="356" spans="14:108" hidden="1">
      <c r="N356" s="44"/>
      <c r="O356" s="169"/>
      <c r="P356" s="164"/>
      <c r="Q356" s="24"/>
      <c r="R356" s="164"/>
      <c r="S356" s="169"/>
      <c r="T356" s="45"/>
      <c r="DC356" s="3"/>
      <c r="DD356" s="37" t="s">
        <v>146</v>
      </c>
    </row>
    <row r="357" spans="14:108" hidden="1">
      <c r="N357" s="44"/>
      <c r="O357" s="169"/>
      <c r="P357" s="164"/>
      <c r="Q357" s="24"/>
      <c r="R357" s="164"/>
      <c r="S357" s="169"/>
      <c r="T357" s="45"/>
      <c r="DC357" s="3"/>
      <c r="DD357" s="37" t="s">
        <v>147</v>
      </c>
    </row>
    <row r="358" spans="14:108" hidden="1">
      <c r="N358" s="44"/>
      <c r="O358" s="169"/>
      <c r="P358" s="164"/>
      <c r="Q358" s="24"/>
      <c r="R358" s="164"/>
      <c r="S358" s="169"/>
      <c r="T358" s="45"/>
      <c r="DC358" s="3"/>
      <c r="DD358" s="37" t="s">
        <v>148</v>
      </c>
    </row>
    <row r="359" spans="14:108" hidden="1">
      <c r="N359" s="44"/>
      <c r="O359" s="169"/>
      <c r="P359" s="164"/>
      <c r="Q359" s="24"/>
      <c r="R359" s="164"/>
      <c r="S359" s="169"/>
      <c r="T359" s="45"/>
      <c r="DC359" s="3"/>
      <c r="DD359" s="37" t="s">
        <v>149</v>
      </c>
    </row>
    <row r="360" spans="14:108" hidden="1">
      <c r="O360" s="169"/>
      <c r="P360" s="164"/>
      <c r="Q360" s="24"/>
      <c r="R360" s="164"/>
      <c r="S360" s="169"/>
      <c r="DC360" s="3"/>
      <c r="DD360" s="37" t="s">
        <v>150</v>
      </c>
    </row>
    <row r="361" spans="14:108" hidden="1">
      <c r="N361" s="44"/>
      <c r="O361" s="169"/>
      <c r="P361" s="164"/>
      <c r="Q361" s="24"/>
      <c r="R361" s="164"/>
      <c r="S361" s="169"/>
      <c r="T361" s="45"/>
      <c r="DC361" s="3"/>
      <c r="DD361" s="37" t="s">
        <v>151</v>
      </c>
    </row>
    <row r="362" spans="14:108" hidden="1">
      <c r="N362" s="44"/>
      <c r="O362" s="169"/>
      <c r="P362" s="164"/>
      <c r="Q362" s="24"/>
      <c r="R362" s="164"/>
      <c r="S362" s="169"/>
      <c r="T362" s="45"/>
      <c r="DC362" s="3"/>
      <c r="DD362" s="37" t="s">
        <v>152</v>
      </c>
    </row>
    <row r="363" spans="14:108" hidden="1">
      <c r="N363" s="44"/>
      <c r="O363" s="169"/>
      <c r="P363" s="164"/>
      <c r="Q363" s="24"/>
      <c r="R363" s="164"/>
      <c r="S363" s="169"/>
      <c r="T363" s="45"/>
      <c r="DC363" s="3"/>
      <c r="DD363" s="37" t="s">
        <v>153</v>
      </c>
    </row>
    <row r="364" spans="14:108" hidden="1">
      <c r="N364" s="44"/>
      <c r="O364" s="169"/>
      <c r="P364" s="164"/>
      <c r="Q364" s="24"/>
      <c r="R364" s="164"/>
      <c r="S364" s="169"/>
      <c r="T364" s="45"/>
      <c r="DC364" s="3"/>
      <c r="DD364" s="37" t="s">
        <v>154</v>
      </c>
    </row>
    <row r="365" spans="14:108" hidden="1">
      <c r="N365" s="44"/>
      <c r="O365" s="169"/>
      <c r="P365" s="164"/>
      <c r="Q365" s="24"/>
      <c r="R365" s="164"/>
      <c r="S365" s="169"/>
      <c r="T365" s="45"/>
      <c r="DC365" s="3"/>
      <c r="DD365" s="37" t="s">
        <v>155</v>
      </c>
    </row>
    <row r="366" spans="14:108" hidden="1">
      <c r="N366" s="44"/>
      <c r="O366" s="169"/>
      <c r="P366" s="164"/>
      <c r="Q366" s="24"/>
      <c r="R366" s="164"/>
      <c r="S366" s="169"/>
      <c r="T366" s="45"/>
      <c r="DC366" s="3"/>
      <c r="DD366" s="37" t="s">
        <v>156</v>
      </c>
    </row>
    <row r="367" spans="14:108" hidden="1">
      <c r="N367" s="44"/>
      <c r="O367" s="169"/>
      <c r="P367" s="164"/>
      <c r="Q367" s="24"/>
      <c r="R367" s="164"/>
      <c r="S367" s="169"/>
      <c r="T367" s="45"/>
      <c r="DC367" s="3"/>
      <c r="DD367" s="37" t="s">
        <v>157</v>
      </c>
    </row>
    <row r="368" spans="14:108" hidden="1">
      <c r="N368" s="44"/>
      <c r="O368" s="169"/>
      <c r="P368" s="164"/>
      <c r="Q368" s="24"/>
      <c r="R368" s="164"/>
      <c r="S368" s="169"/>
      <c r="T368" s="45"/>
      <c r="DC368" s="3"/>
      <c r="DD368" s="37" t="s">
        <v>158</v>
      </c>
    </row>
    <row r="369" spans="14:108" hidden="1">
      <c r="N369" s="44"/>
      <c r="O369" s="169"/>
      <c r="P369" s="164"/>
      <c r="Q369" s="24"/>
      <c r="R369" s="164"/>
      <c r="S369" s="169"/>
      <c r="T369" s="45"/>
      <c r="DC369" s="3"/>
      <c r="DD369" s="37" t="s">
        <v>159</v>
      </c>
    </row>
    <row r="370" spans="14:108" hidden="1">
      <c r="DC370" s="3"/>
      <c r="DD370" s="37" t="s">
        <v>160</v>
      </c>
    </row>
    <row r="371" spans="14:108" hidden="1">
      <c r="DC371" s="3"/>
      <c r="DD371" s="37" t="s">
        <v>161</v>
      </c>
    </row>
    <row r="372" spans="14:108" hidden="1">
      <c r="DC372" s="3"/>
      <c r="DD372" s="37" t="s">
        <v>162</v>
      </c>
    </row>
    <row r="373" spans="14:108" hidden="1">
      <c r="DC373" s="3"/>
      <c r="DD373" s="3"/>
    </row>
    <row r="374" spans="14:108" hidden="1">
      <c r="DC374" s="3"/>
      <c r="DD374" s="3"/>
    </row>
    <row r="375" spans="14:108" hidden="1">
      <c r="DC375" s="3"/>
      <c r="DD375" s="3"/>
    </row>
    <row r="376" spans="14:108" hidden="1">
      <c r="DC376" s="3"/>
      <c r="DD376" s="3"/>
    </row>
    <row r="377" spans="14:108" hidden="1">
      <c r="DC377" s="3"/>
      <c r="DD377" s="3"/>
    </row>
    <row r="378" spans="14:108" hidden="1">
      <c r="DC378" s="3"/>
      <c r="DD378" s="3"/>
    </row>
    <row r="379" spans="14:108" hidden="1">
      <c r="DC379" s="3"/>
      <c r="DD379" s="3"/>
    </row>
    <row r="380" spans="14:108" hidden="1">
      <c r="DC380" s="3"/>
      <c r="DD380" s="3"/>
    </row>
    <row r="381" spans="14:108" hidden="1">
      <c r="DC381" s="3"/>
      <c r="DD381" s="3"/>
    </row>
    <row r="382" spans="14:108" hidden="1">
      <c r="DC382" s="3"/>
      <c r="DD382" s="3"/>
    </row>
    <row r="383" spans="14:108" hidden="1">
      <c r="DC383" s="3"/>
      <c r="DD383" s="3"/>
    </row>
    <row r="384" spans="14:108" hidden="1">
      <c r="DC384" s="3"/>
      <c r="DD384" s="3"/>
    </row>
    <row r="385" spans="31:32" hidden="1">
      <c r="AE385" s="37"/>
      <c r="AF385" s="3"/>
    </row>
  </sheetData>
  <mergeCells count="71">
    <mergeCell ref="C150:AE150"/>
    <mergeCell ref="C301:P301"/>
    <mergeCell ref="R301:AE301"/>
    <mergeCell ref="C310:P310"/>
    <mergeCell ref="R310:AE310"/>
    <mergeCell ref="C243:P243"/>
    <mergeCell ref="R243:AE243"/>
    <mergeCell ref="J259:N259"/>
    <mergeCell ref="C281:P281"/>
    <mergeCell ref="R281:AE281"/>
    <mergeCell ref="C290:P290"/>
    <mergeCell ref="R290:AE290"/>
    <mergeCell ref="B299:AF299"/>
    <mergeCell ref="C189:P189"/>
    <mergeCell ref="R189:AE189"/>
    <mergeCell ref="C180:P180"/>
    <mergeCell ref="C123:P123"/>
    <mergeCell ref="R123:AE123"/>
    <mergeCell ref="C132:P132"/>
    <mergeCell ref="R132:AE132"/>
    <mergeCell ref="C141:P141"/>
    <mergeCell ref="R141:AE141"/>
    <mergeCell ref="R180:AE180"/>
    <mergeCell ref="C171:P171"/>
    <mergeCell ref="R171:AE171"/>
    <mergeCell ref="B169:AF169"/>
    <mergeCell ref="J166:N166"/>
    <mergeCell ref="C272:P272"/>
    <mergeCell ref="R272:AE272"/>
    <mergeCell ref="B319:AF319"/>
    <mergeCell ref="C198:P198"/>
    <mergeCell ref="R198:AE198"/>
    <mergeCell ref="B261:AF261"/>
    <mergeCell ref="C263:P263"/>
    <mergeCell ref="R263:AE263"/>
    <mergeCell ref="C207:P207"/>
    <mergeCell ref="R207:AE207"/>
    <mergeCell ref="C216:P216"/>
    <mergeCell ref="R216:AE216"/>
    <mergeCell ref="C225:P225"/>
    <mergeCell ref="R225:AE225"/>
    <mergeCell ref="C234:P234"/>
    <mergeCell ref="R234:AE234"/>
    <mergeCell ref="C60:P60"/>
    <mergeCell ref="C69:P69"/>
    <mergeCell ref="R69:AE69"/>
    <mergeCell ref="R60:AE60"/>
    <mergeCell ref="C78:P78"/>
    <mergeCell ref="R78:AE78"/>
    <mergeCell ref="C87:P87"/>
    <mergeCell ref="R87:AE87"/>
    <mergeCell ref="C96:P96"/>
    <mergeCell ref="R96:AE96"/>
    <mergeCell ref="C105:P105"/>
    <mergeCell ref="R105:AE105"/>
    <mergeCell ref="C114:P114"/>
    <mergeCell ref="R114:AE114"/>
    <mergeCell ref="B4:AF4"/>
    <mergeCell ref="B2:AF2"/>
    <mergeCell ref="C6:P6"/>
    <mergeCell ref="R6:AE6"/>
    <mergeCell ref="C51:P51"/>
    <mergeCell ref="R51:AE51"/>
    <mergeCell ref="C15:P15"/>
    <mergeCell ref="R15:AE15"/>
    <mergeCell ref="C33:P33"/>
    <mergeCell ref="R33:AE33"/>
    <mergeCell ref="C24:P24"/>
    <mergeCell ref="R24:AE24"/>
    <mergeCell ref="C42:P42"/>
    <mergeCell ref="R42:AE42"/>
  </mergeCells>
  <phoneticPr fontId="1" type="noConversion"/>
  <conditionalFormatting sqref="M13 M322">
    <cfRule type="expression" dxfId="537" priority="658" stopIfTrue="1">
      <formula>AND(ISNUMBER(P13),ISNUMBER(R13),P13&gt;R13)</formula>
    </cfRule>
  </conditionalFormatting>
  <conditionalFormatting sqref="N8 Z8 N17 N26 N44 Z44 Z26 N53 Z53 N35 N274 Z274 Z35 Z17 N62 Z62 N173 Z173 N182 Z182 N191 Z191 N200 Z200 N265 Z265 N71 Z71">
    <cfRule type="expression" dxfId="536" priority="659" stopIfTrue="1">
      <formula>J8&gt;L8</formula>
    </cfRule>
    <cfRule type="expression" dxfId="535" priority="660" stopIfTrue="1">
      <formula>J8&lt;L8</formula>
    </cfRule>
  </conditionalFormatting>
  <conditionalFormatting sqref="H8 T8 H17 H26 H44 T44 T26 H53 T53 H35 H274 T274 T35 T17 H62 T62 H173 T173 H182 T182 H191 T191 H200 T200 H265 T265 H71 T71">
    <cfRule type="expression" dxfId="534" priority="661" stopIfTrue="1">
      <formula>J8&gt;L8</formula>
    </cfRule>
    <cfRule type="expression" dxfId="533" priority="662" stopIfTrue="1">
      <formula>J8&lt;L8</formula>
    </cfRule>
  </conditionalFormatting>
  <conditionalFormatting sqref="N13">
    <cfRule type="expression" dxfId="532" priority="663" stopIfTrue="1">
      <formula>OR(P13&gt;R13,N13&amp;" win on away goals"=P12)</formula>
    </cfRule>
    <cfRule type="expression" dxfId="531" priority="664" stopIfTrue="1">
      <formula>OR(P13&lt;R13,T13&amp;" win on away goals"=P12)</formula>
    </cfRule>
  </conditionalFormatting>
  <conditionalFormatting sqref="T13">
    <cfRule type="expression" dxfId="530" priority="665" stopIfTrue="1">
      <formula>OR(P13&gt;R13,N13&amp;" win on away goals"=P12)</formula>
    </cfRule>
    <cfRule type="expression" dxfId="529" priority="666" stopIfTrue="1">
      <formula>OR(P13&lt;R13,T13&amp;" win on away goals"=P12)</formula>
    </cfRule>
  </conditionalFormatting>
  <conditionalFormatting sqref="P323:P325 R323:R325 J265 L265 V265 X265 J191 L191 V191 X191 J62 L62 V62 X62 J173 L173 V173 X173 J182 L182 V182 X182 J200 L200 V200 X200 J35 L35 J8 L8 J44 L44 V44 X44 J53 L53 V53 X53 V274 X274 J17 L17 V17 X17 J26 L26 V26 X26 V35 X35 V8 X8 J274 L274 J71 L71 V71 X71">
    <cfRule type="expression" dxfId="528" priority="667" stopIfTrue="1">
      <formula>ISBLANK(J8)</formula>
    </cfRule>
  </conditionalFormatting>
  <conditionalFormatting sqref="H153:H156 N153:N156">
    <cfRule type="cellIs" dxfId="527" priority="668" stopIfTrue="1" operator="notEqual">
      <formula>""</formula>
    </cfRule>
  </conditionalFormatting>
  <conditionalFormatting sqref="N336:N359 N361:N369 N322">
    <cfRule type="expression" dxfId="526" priority="669" stopIfTrue="1">
      <formula>$P$322&gt;$R$322</formula>
    </cfRule>
    <cfRule type="expression" dxfId="525" priority="670" stopIfTrue="1">
      <formula>$P$322&lt;$R$322</formula>
    </cfRule>
  </conditionalFormatting>
  <conditionalFormatting sqref="T336:T359 T361:T369 T322">
    <cfRule type="expression" dxfId="524" priority="671" stopIfTrue="1">
      <formula>$R$322&gt;$P$322</formula>
    </cfRule>
    <cfRule type="expression" dxfId="523" priority="672" stopIfTrue="1">
      <formula>$R$322&lt;$P$322</formula>
    </cfRule>
  </conditionalFormatting>
  <conditionalFormatting sqref="V9">
    <cfRule type="expression" dxfId="522" priority="653">
      <formula>V9&lt;&gt;""</formula>
    </cfRule>
    <cfRule type="expression" dxfId="521" priority="657">
      <formula>AND(J8=X8,L8=V8,V8&lt;&gt;"",X8&lt;&gt;"")</formula>
    </cfRule>
  </conditionalFormatting>
  <conditionalFormatting sqref="X9">
    <cfRule type="expression" dxfId="520" priority="652">
      <formula>X9&lt;&gt;""</formula>
    </cfRule>
    <cfRule type="expression" dxfId="519" priority="656">
      <formula>AND(J8=X8,L8=V8,V8&lt;&gt;"",X8&lt;&gt;"")</formula>
    </cfRule>
  </conditionalFormatting>
  <conditionalFormatting sqref="V10">
    <cfRule type="expression" dxfId="518" priority="651">
      <formula>V10&lt;&gt;""</formula>
    </cfRule>
    <cfRule type="expression" dxfId="517" priority="655">
      <formula>AND(V9=X9,V9=0,X9=0,V9&lt;&gt;"",X9&lt;&gt;"")</formula>
    </cfRule>
  </conditionalFormatting>
  <conditionalFormatting sqref="X10">
    <cfRule type="expression" dxfId="516" priority="650">
      <formula>X10&lt;&gt;""</formula>
    </cfRule>
    <cfRule type="expression" dxfId="515" priority="654">
      <formula>AND(V9=X9,V9=0,X9=0,V9&lt;&gt;"",X9&lt;&gt;"")</formula>
    </cfRule>
  </conditionalFormatting>
  <conditionalFormatting sqref="U9:U10">
    <cfRule type="expression" dxfId="514" priority="649">
      <formula>AND(V8&lt;&gt;"",X8&lt;&gt;"",J8=X8,L8=V8)</formula>
    </cfRule>
  </conditionalFormatting>
  <conditionalFormatting sqref="W9:W10">
    <cfRule type="expression" dxfId="513" priority="648">
      <formula>AND(V8&lt;&gt;"",X8&lt;&gt;"",J8=X8,L8=V8)</formula>
    </cfRule>
  </conditionalFormatting>
  <conditionalFormatting sqref="M22">
    <cfRule type="expression" dxfId="512" priority="643" stopIfTrue="1">
      <formula>AND(ISNUMBER(P22),ISNUMBER(R22),P22&gt;R22)</formula>
    </cfRule>
  </conditionalFormatting>
  <conditionalFormatting sqref="N22">
    <cfRule type="expression" dxfId="511" priority="644" stopIfTrue="1">
      <formula>OR(P22&gt;R22,N22&amp;" win on away goals"=P21)</formula>
    </cfRule>
    <cfRule type="expression" dxfId="510" priority="645" stopIfTrue="1">
      <formula>OR(P22&lt;R22,T22&amp;" win on away goals"=P21)</formula>
    </cfRule>
  </conditionalFormatting>
  <conditionalFormatting sqref="T22">
    <cfRule type="expression" dxfId="509" priority="646" stopIfTrue="1">
      <formula>OR(P22&gt;R22,N22&amp;" win on away goals"=P21)</formula>
    </cfRule>
    <cfRule type="expression" dxfId="508" priority="647" stopIfTrue="1">
      <formula>OR(P22&lt;R22,T22&amp;" win on away goals"=P21)</formula>
    </cfRule>
  </conditionalFormatting>
  <conditionalFormatting sqref="M31">
    <cfRule type="expression" dxfId="507" priority="628" stopIfTrue="1">
      <formula>AND(ISNUMBER(P31),ISNUMBER(R31),P31&gt;R31)</formula>
    </cfRule>
  </conditionalFormatting>
  <conditionalFormatting sqref="N31">
    <cfRule type="expression" dxfId="506" priority="629" stopIfTrue="1">
      <formula>OR(P31&gt;R31,N31&amp;" win on away goals"=P30)</formula>
    </cfRule>
    <cfRule type="expression" dxfId="505" priority="630" stopIfTrue="1">
      <formula>OR(P31&lt;R31,T31&amp;" win on away goals"=P30)</formula>
    </cfRule>
  </conditionalFormatting>
  <conditionalFormatting sqref="T31">
    <cfRule type="expression" dxfId="504" priority="631" stopIfTrue="1">
      <formula>OR(P31&gt;R31,N31&amp;" win on away goals"=P30)</formula>
    </cfRule>
    <cfRule type="expression" dxfId="503" priority="632" stopIfTrue="1">
      <formula>OR(P31&lt;R31,T31&amp;" win on away goals"=P30)</formula>
    </cfRule>
  </conditionalFormatting>
  <conditionalFormatting sqref="M40">
    <cfRule type="expression" dxfId="502" priority="613" stopIfTrue="1">
      <formula>AND(ISNUMBER(P40),ISNUMBER(R40),P40&gt;R40)</formula>
    </cfRule>
  </conditionalFormatting>
  <conditionalFormatting sqref="N40">
    <cfRule type="expression" dxfId="501" priority="614" stopIfTrue="1">
      <formula>OR(P40&gt;R40,N40&amp;" win on away goals"=P39)</formula>
    </cfRule>
    <cfRule type="expression" dxfId="500" priority="615" stopIfTrue="1">
      <formula>OR(P40&lt;R40,T40&amp;" win on away goals"=P39)</formula>
    </cfRule>
  </conditionalFormatting>
  <conditionalFormatting sqref="T40">
    <cfRule type="expression" dxfId="499" priority="616" stopIfTrue="1">
      <formula>OR(P40&gt;R40,N40&amp;" win on away goals"=P39)</formula>
    </cfRule>
    <cfRule type="expression" dxfId="498" priority="617" stopIfTrue="1">
      <formula>OR(P40&lt;R40,T40&amp;" win on away goals"=P39)</formula>
    </cfRule>
  </conditionalFormatting>
  <conditionalFormatting sqref="M49">
    <cfRule type="expression" dxfId="497" priority="598" stopIfTrue="1">
      <formula>AND(ISNUMBER(P49),ISNUMBER(R49),P49&gt;R49)</formula>
    </cfRule>
  </conditionalFormatting>
  <conditionalFormatting sqref="N49">
    <cfRule type="expression" dxfId="496" priority="599" stopIfTrue="1">
      <formula>OR(P49&gt;R49,N49&amp;" win on away goals"=P48)</formula>
    </cfRule>
    <cfRule type="expression" dxfId="495" priority="600" stopIfTrue="1">
      <formula>OR(P49&lt;R49,T49&amp;" win on away goals"=P48)</formula>
    </cfRule>
  </conditionalFormatting>
  <conditionalFormatting sqref="T49">
    <cfRule type="expression" dxfId="494" priority="601" stopIfTrue="1">
      <formula>OR(P49&gt;R49,N49&amp;" win on away goals"=P48)</formula>
    </cfRule>
    <cfRule type="expression" dxfId="493" priority="602" stopIfTrue="1">
      <formula>OR(P49&lt;R49,T49&amp;" win on away goals"=P48)</formula>
    </cfRule>
  </conditionalFormatting>
  <conditionalFormatting sqref="M58">
    <cfRule type="expression" dxfId="492" priority="583" stopIfTrue="1">
      <formula>AND(ISNUMBER(P58),ISNUMBER(R58),P58&gt;R58)</formula>
    </cfRule>
  </conditionalFormatting>
  <conditionalFormatting sqref="N58">
    <cfRule type="expression" dxfId="491" priority="584" stopIfTrue="1">
      <formula>OR(P58&gt;R58,N58&amp;" win on away goals"=P57)</formula>
    </cfRule>
    <cfRule type="expression" dxfId="490" priority="585" stopIfTrue="1">
      <formula>OR(P58&lt;R58,T58&amp;" win on away goals"=P57)</formula>
    </cfRule>
  </conditionalFormatting>
  <conditionalFormatting sqref="T58">
    <cfRule type="expression" dxfId="489" priority="586" stopIfTrue="1">
      <formula>OR(P58&gt;R58,N58&amp;" win on away goals"=P57)</formula>
    </cfRule>
    <cfRule type="expression" dxfId="488" priority="587" stopIfTrue="1">
      <formula>OR(P58&lt;R58,T58&amp;" win on away goals"=P57)</formula>
    </cfRule>
  </conditionalFormatting>
  <conditionalFormatting sqref="M67">
    <cfRule type="expression" dxfId="487" priority="568" stopIfTrue="1">
      <formula>AND(ISNUMBER(P67),ISNUMBER(R67),P67&gt;R67)</formula>
    </cfRule>
  </conditionalFormatting>
  <conditionalFormatting sqref="N67">
    <cfRule type="expression" dxfId="486" priority="569" stopIfTrue="1">
      <formula>OR(P67&gt;R67,N67&amp;" win on away goals"=P66)</formula>
    </cfRule>
    <cfRule type="expression" dxfId="485" priority="570" stopIfTrue="1">
      <formula>OR(P67&lt;R67,T67&amp;" win on away goals"=P66)</formula>
    </cfRule>
  </conditionalFormatting>
  <conditionalFormatting sqref="T67">
    <cfRule type="expression" dxfId="484" priority="571" stopIfTrue="1">
      <formula>OR(P67&gt;R67,N67&amp;" win on away goals"=P66)</formula>
    </cfRule>
    <cfRule type="expression" dxfId="483" priority="572" stopIfTrue="1">
      <formula>OR(P67&lt;R67,T67&amp;" win on away goals"=P66)</formula>
    </cfRule>
  </conditionalFormatting>
  <conditionalFormatting sqref="M76">
    <cfRule type="expression" dxfId="482" priority="553" stopIfTrue="1">
      <formula>AND(ISNUMBER(P76),ISNUMBER(R76),P76&gt;R76)</formula>
    </cfRule>
  </conditionalFormatting>
  <conditionalFormatting sqref="N76">
    <cfRule type="expression" dxfId="481" priority="554" stopIfTrue="1">
      <formula>OR(P76&gt;R76,N76&amp;" win on away goals"=P75)</formula>
    </cfRule>
    <cfRule type="expression" dxfId="480" priority="555" stopIfTrue="1">
      <formula>OR(P76&lt;R76,T76&amp;" win on away goals"=P75)</formula>
    </cfRule>
  </conditionalFormatting>
  <conditionalFormatting sqref="T76">
    <cfRule type="expression" dxfId="479" priority="556" stopIfTrue="1">
      <formula>OR(P76&gt;R76,N76&amp;" win on away goals"=P75)</formula>
    </cfRule>
    <cfRule type="expression" dxfId="478" priority="557" stopIfTrue="1">
      <formula>OR(P76&lt;R76,T76&amp;" win on away goals"=P75)</formula>
    </cfRule>
  </conditionalFormatting>
  <conditionalFormatting sqref="M178">
    <cfRule type="expression" dxfId="477" priority="538" stopIfTrue="1">
      <formula>AND(ISNUMBER(P178),ISNUMBER(R178),P178&gt;R178)</formula>
    </cfRule>
  </conditionalFormatting>
  <conditionalFormatting sqref="N178">
    <cfRule type="expression" dxfId="476" priority="539" stopIfTrue="1">
      <formula>OR(P178&gt;R178,N178&amp;" win on away goals"=P177)</formula>
    </cfRule>
    <cfRule type="expression" dxfId="475" priority="540" stopIfTrue="1">
      <formula>OR(P178&lt;R178,T178&amp;" win on away goals"=P177)</formula>
    </cfRule>
  </conditionalFormatting>
  <conditionalFormatting sqref="T178">
    <cfRule type="expression" dxfId="474" priority="541" stopIfTrue="1">
      <formula>OR(P178&gt;R178,N178&amp;" win on away goals"=P177)</formula>
    </cfRule>
    <cfRule type="expression" dxfId="473" priority="542" stopIfTrue="1">
      <formula>OR(P178&lt;R178,T178&amp;" win on away goals"=P177)</formula>
    </cfRule>
  </conditionalFormatting>
  <conditionalFormatting sqref="M187">
    <cfRule type="expression" dxfId="472" priority="523" stopIfTrue="1">
      <formula>AND(ISNUMBER(P187),ISNUMBER(R187),P187&gt;R187)</formula>
    </cfRule>
  </conditionalFormatting>
  <conditionalFormatting sqref="N187">
    <cfRule type="expression" dxfId="471" priority="524" stopIfTrue="1">
      <formula>OR(P187&gt;R187,N187&amp;" win on away goals"=P186)</formula>
    </cfRule>
    <cfRule type="expression" dxfId="470" priority="525" stopIfTrue="1">
      <formula>OR(P187&lt;R187,T187&amp;" win on away goals"=P186)</formula>
    </cfRule>
  </conditionalFormatting>
  <conditionalFormatting sqref="T187">
    <cfRule type="expression" dxfId="469" priority="526" stopIfTrue="1">
      <formula>OR(P187&gt;R187,N187&amp;" win on away goals"=P186)</formula>
    </cfRule>
    <cfRule type="expression" dxfId="468" priority="527" stopIfTrue="1">
      <formula>OR(P187&lt;R187,T187&amp;" win on away goals"=P186)</formula>
    </cfRule>
  </conditionalFormatting>
  <conditionalFormatting sqref="M196">
    <cfRule type="expression" dxfId="467" priority="508" stopIfTrue="1">
      <formula>AND(ISNUMBER(P196),ISNUMBER(R196),P196&gt;R196)</formula>
    </cfRule>
  </conditionalFormatting>
  <conditionalFormatting sqref="N196">
    <cfRule type="expression" dxfId="466" priority="509" stopIfTrue="1">
      <formula>OR(P196&gt;R196,N196&amp;" win on away goals"=P195)</formula>
    </cfRule>
    <cfRule type="expression" dxfId="465" priority="510" stopIfTrue="1">
      <formula>OR(P196&lt;R196,T196&amp;" win on away goals"=P195)</formula>
    </cfRule>
  </conditionalFormatting>
  <conditionalFormatting sqref="T196">
    <cfRule type="expression" dxfId="464" priority="511" stopIfTrue="1">
      <formula>OR(P196&gt;R196,N196&amp;" win on away goals"=P195)</formula>
    </cfRule>
    <cfRule type="expression" dxfId="463" priority="512" stopIfTrue="1">
      <formula>OR(P196&lt;R196,T196&amp;" win on away goals"=P195)</formula>
    </cfRule>
  </conditionalFormatting>
  <conditionalFormatting sqref="M205">
    <cfRule type="expression" dxfId="462" priority="493" stopIfTrue="1">
      <formula>AND(ISNUMBER(P205),ISNUMBER(R205),P205&gt;R205)</formula>
    </cfRule>
  </conditionalFormatting>
  <conditionalFormatting sqref="N205">
    <cfRule type="expression" dxfId="461" priority="494" stopIfTrue="1">
      <formula>OR(P205&gt;R205,N205&amp;" win on away goals"=P204)</formula>
    </cfRule>
    <cfRule type="expression" dxfId="460" priority="495" stopIfTrue="1">
      <formula>OR(P205&lt;R205,T205&amp;" win on away goals"=P204)</formula>
    </cfRule>
  </conditionalFormatting>
  <conditionalFormatting sqref="T205">
    <cfRule type="expression" dxfId="459" priority="496" stopIfTrue="1">
      <formula>OR(P205&gt;R205,N205&amp;" win on away goals"=P204)</formula>
    </cfRule>
    <cfRule type="expression" dxfId="458" priority="497" stopIfTrue="1">
      <formula>OR(P205&lt;R205,T205&amp;" win on away goals"=P204)</formula>
    </cfRule>
  </conditionalFormatting>
  <conditionalFormatting sqref="M270">
    <cfRule type="expression" dxfId="457" priority="478" stopIfTrue="1">
      <formula>AND(ISNUMBER(P270),ISNUMBER(R270),P270&gt;R270)</formula>
    </cfRule>
  </conditionalFormatting>
  <conditionalFormatting sqref="N270">
    <cfRule type="expression" dxfId="456" priority="479" stopIfTrue="1">
      <formula>OR(P270&gt;R270,N270&amp;" win on away goals"=P269)</formula>
    </cfRule>
    <cfRule type="expression" dxfId="455" priority="480" stopIfTrue="1">
      <formula>OR(P270&lt;R270,T270&amp;" win on away goals"=P269)</formula>
    </cfRule>
  </conditionalFormatting>
  <conditionalFormatting sqref="T270">
    <cfRule type="expression" dxfId="454" priority="481" stopIfTrue="1">
      <formula>OR(P270&gt;R270,N270&amp;" win on away goals"=P269)</formula>
    </cfRule>
    <cfRule type="expression" dxfId="453" priority="482" stopIfTrue="1">
      <formula>OR(P270&lt;R270,T270&amp;" win on away goals"=P269)</formula>
    </cfRule>
  </conditionalFormatting>
  <conditionalFormatting sqref="M279">
    <cfRule type="expression" dxfId="452" priority="463" stopIfTrue="1">
      <formula>AND(ISNUMBER(P279),ISNUMBER(R279),P279&gt;R279)</formula>
    </cfRule>
  </conditionalFormatting>
  <conditionalFormatting sqref="N279">
    <cfRule type="expression" dxfId="451" priority="464" stopIfTrue="1">
      <formula>OR(P279&gt;R279,N279&amp;" win on away goals"=P278)</formula>
    </cfRule>
    <cfRule type="expression" dxfId="450" priority="465" stopIfTrue="1">
      <formula>OR(P279&lt;R279,T279&amp;" win on away goals"=P278)</formula>
    </cfRule>
  </conditionalFormatting>
  <conditionalFormatting sqref="T279">
    <cfRule type="expression" dxfId="449" priority="466" stopIfTrue="1">
      <formula>OR(P279&gt;R279,N279&amp;" win on away goals"=P278)</formula>
    </cfRule>
    <cfRule type="expression" dxfId="448" priority="467" stopIfTrue="1">
      <formula>OR(P279&lt;R279,T279&amp;" win on away goals"=P278)</formula>
    </cfRule>
  </conditionalFormatting>
  <conditionalFormatting sqref="V18">
    <cfRule type="expression" dxfId="447" priority="450">
      <formula>V18&lt;&gt;""</formula>
    </cfRule>
    <cfRule type="expression" dxfId="446" priority="452">
      <formula>AND(J17=X17,L17=V17,V17&lt;&gt;"",X17&lt;&gt;"")</formula>
    </cfRule>
  </conditionalFormatting>
  <conditionalFormatting sqref="X18">
    <cfRule type="expression" dxfId="445" priority="449">
      <formula>X18&lt;&gt;""</formula>
    </cfRule>
    <cfRule type="expression" dxfId="444" priority="451">
      <formula>AND(J17=X17,L17=V17,V17&lt;&gt;"",X17&lt;&gt;"")</formula>
    </cfRule>
  </conditionalFormatting>
  <conditionalFormatting sqref="U18">
    <cfRule type="expression" dxfId="443" priority="448">
      <formula>AND(V17&lt;&gt;"",X17&lt;&gt;"",J17=X17,L17=V17)</formula>
    </cfRule>
  </conditionalFormatting>
  <conditionalFormatting sqref="W18">
    <cfRule type="expression" dxfId="442" priority="447">
      <formula>AND(V17&lt;&gt;"",X17&lt;&gt;"",J17=X17,L17=V17)</formula>
    </cfRule>
  </conditionalFormatting>
  <conditionalFormatting sqref="V27">
    <cfRule type="expression" dxfId="441" priority="444">
      <formula>V27&lt;&gt;""</formula>
    </cfRule>
    <cfRule type="expression" dxfId="440" priority="446">
      <formula>AND(J26=X26,L26=V26,V26&lt;&gt;"",X26&lt;&gt;"")</formula>
    </cfRule>
  </conditionalFormatting>
  <conditionalFormatting sqref="X27">
    <cfRule type="expression" dxfId="439" priority="443">
      <formula>X27&lt;&gt;""</formula>
    </cfRule>
    <cfRule type="expression" dxfId="438" priority="445">
      <formula>AND(J26=X26,L26=V26,V26&lt;&gt;"",X26&lt;&gt;"")</formula>
    </cfRule>
  </conditionalFormatting>
  <conditionalFormatting sqref="U27">
    <cfRule type="expression" dxfId="437" priority="442">
      <formula>AND(V26&lt;&gt;"",X26&lt;&gt;"",J26=X26,L26=V26)</formula>
    </cfRule>
  </conditionalFormatting>
  <conditionalFormatting sqref="W27">
    <cfRule type="expression" dxfId="436" priority="441">
      <formula>AND(V26&lt;&gt;"",X26&lt;&gt;"",J26=X26,L26=V26)</formula>
    </cfRule>
  </conditionalFormatting>
  <conditionalFormatting sqref="V36">
    <cfRule type="expression" dxfId="435" priority="438">
      <formula>V36&lt;&gt;""</formula>
    </cfRule>
    <cfRule type="expression" dxfId="434" priority="440">
      <formula>AND(J35=X35,L35=V35,V35&lt;&gt;"",X35&lt;&gt;"")</formula>
    </cfRule>
  </conditionalFormatting>
  <conditionalFormatting sqref="X36">
    <cfRule type="expression" dxfId="433" priority="437">
      <formula>X36&lt;&gt;""</formula>
    </cfRule>
    <cfRule type="expression" dxfId="432" priority="439">
      <formula>AND(J35=X35,L35=V35,V35&lt;&gt;"",X35&lt;&gt;"")</formula>
    </cfRule>
  </conditionalFormatting>
  <conditionalFormatting sqref="U36">
    <cfRule type="expression" dxfId="431" priority="436">
      <formula>AND(V35&lt;&gt;"",X35&lt;&gt;"",J35=X35,L35=V35)</formula>
    </cfRule>
  </conditionalFormatting>
  <conditionalFormatting sqref="W36">
    <cfRule type="expression" dxfId="430" priority="435">
      <formula>AND(V35&lt;&gt;"",X35&lt;&gt;"",J35=X35,L35=V35)</formula>
    </cfRule>
  </conditionalFormatting>
  <conditionalFormatting sqref="V45">
    <cfRule type="expression" dxfId="429" priority="432">
      <formula>V45&lt;&gt;""</formula>
    </cfRule>
    <cfRule type="expression" dxfId="428" priority="434">
      <formula>AND(J44=X44,L44=V44,V44&lt;&gt;"",X44&lt;&gt;"")</formula>
    </cfRule>
  </conditionalFormatting>
  <conditionalFormatting sqref="X45">
    <cfRule type="expression" dxfId="427" priority="431">
      <formula>X45&lt;&gt;""</formula>
    </cfRule>
    <cfRule type="expression" dxfId="426" priority="433">
      <formula>AND(J44=X44,L44=V44,V44&lt;&gt;"",X44&lt;&gt;"")</formula>
    </cfRule>
  </conditionalFormatting>
  <conditionalFormatting sqref="U45">
    <cfRule type="expression" dxfId="425" priority="430">
      <formula>AND(V44&lt;&gt;"",X44&lt;&gt;"",J44=X44,L44=V44)</formula>
    </cfRule>
  </conditionalFormatting>
  <conditionalFormatting sqref="W45">
    <cfRule type="expression" dxfId="424" priority="429">
      <formula>AND(V44&lt;&gt;"",X44&lt;&gt;"",J44=X44,L44=V44)</formula>
    </cfRule>
  </conditionalFormatting>
  <conditionalFormatting sqref="V54">
    <cfRule type="expression" dxfId="423" priority="426">
      <formula>V54&lt;&gt;""</formula>
    </cfRule>
    <cfRule type="expression" dxfId="422" priority="428">
      <formula>AND(J53=X53,L53=V53,V53&lt;&gt;"",X53&lt;&gt;"")</formula>
    </cfRule>
  </conditionalFormatting>
  <conditionalFormatting sqref="X54">
    <cfRule type="expression" dxfId="421" priority="425">
      <formula>X54&lt;&gt;""</formula>
    </cfRule>
    <cfRule type="expression" dxfId="420" priority="427">
      <formula>AND(J53=X53,L53=V53,V53&lt;&gt;"",X53&lt;&gt;"")</formula>
    </cfRule>
  </conditionalFormatting>
  <conditionalFormatting sqref="U54">
    <cfRule type="expression" dxfId="419" priority="424">
      <formula>AND(V53&lt;&gt;"",X53&lt;&gt;"",J53=X53,L53=V53)</formula>
    </cfRule>
  </conditionalFormatting>
  <conditionalFormatting sqref="W54">
    <cfRule type="expression" dxfId="418" priority="423">
      <formula>AND(V53&lt;&gt;"",X53&lt;&gt;"",J53=X53,L53=V53)</formula>
    </cfRule>
  </conditionalFormatting>
  <conditionalFormatting sqref="V63">
    <cfRule type="expression" dxfId="417" priority="420">
      <formula>V63&lt;&gt;""</formula>
    </cfRule>
    <cfRule type="expression" dxfId="416" priority="422">
      <formula>AND(J62=X62,L62=V62,V62&lt;&gt;"",X62&lt;&gt;"")</formula>
    </cfRule>
  </conditionalFormatting>
  <conditionalFormatting sqref="X63">
    <cfRule type="expression" dxfId="415" priority="419">
      <formula>X63&lt;&gt;""</formula>
    </cfRule>
    <cfRule type="expression" dxfId="414" priority="421">
      <formula>AND(J62=X62,L62=V62,V62&lt;&gt;"",X62&lt;&gt;"")</formula>
    </cfRule>
  </conditionalFormatting>
  <conditionalFormatting sqref="U63">
    <cfRule type="expression" dxfId="413" priority="418">
      <formula>AND(V62&lt;&gt;"",X62&lt;&gt;"",J62=X62,L62=V62)</formula>
    </cfRule>
  </conditionalFormatting>
  <conditionalFormatting sqref="W63">
    <cfRule type="expression" dxfId="412" priority="417">
      <formula>AND(V62&lt;&gt;"",X62&lt;&gt;"",J62=X62,L62=V62)</formula>
    </cfRule>
  </conditionalFormatting>
  <conditionalFormatting sqref="V72">
    <cfRule type="expression" dxfId="411" priority="414">
      <formula>V72&lt;&gt;""</formula>
    </cfRule>
    <cfRule type="expression" dxfId="410" priority="416">
      <formula>AND(J71=X71,L71=V71,V71&lt;&gt;"",X71&lt;&gt;"")</formula>
    </cfRule>
  </conditionalFormatting>
  <conditionalFormatting sqref="X72">
    <cfRule type="expression" dxfId="409" priority="413">
      <formula>X72&lt;&gt;""</formula>
    </cfRule>
    <cfRule type="expression" dxfId="408" priority="415">
      <formula>AND(J71=X71,L71=V71,V71&lt;&gt;"",X71&lt;&gt;"")</formula>
    </cfRule>
  </conditionalFormatting>
  <conditionalFormatting sqref="U72">
    <cfRule type="expression" dxfId="407" priority="412">
      <formula>AND(V71&lt;&gt;"",X71&lt;&gt;"",J71=X71,L71=V71)</formula>
    </cfRule>
  </conditionalFormatting>
  <conditionalFormatting sqref="W72">
    <cfRule type="expression" dxfId="406" priority="411">
      <formula>AND(V71&lt;&gt;"",X71&lt;&gt;"",J71=X71,L71=V71)</formula>
    </cfRule>
  </conditionalFormatting>
  <conditionalFormatting sqref="V174">
    <cfRule type="expression" dxfId="405" priority="408">
      <formula>V174&lt;&gt;""</formula>
    </cfRule>
    <cfRule type="expression" dxfId="404" priority="410">
      <formula>AND(J173=X173,L173=V173,V173&lt;&gt;"",X173&lt;&gt;"")</formula>
    </cfRule>
  </conditionalFormatting>
  <conditionalFormatting sqref="X174">
    <cfRule type="expression" dxfId="403" priority="407">
      <formula>X174&lt;&gt;""</formula>
    </cfRule>
    <cfRule type="expression" dxfId="402" priority="409">
      <formula>AND(J173=X173,L173=V173,V173&lt;&gt;"",X173&lt;&gt;"")</formula>
    </cfRule>
  </conditionalFormatting>
  <conditionalFormatting sqref="U174">
    <cfRule type="expression" dxfId="401" priority="406">
      <formula>AND(V173&lt;&gt;"",X173&lt;&gt;"",J173=X173,L173=V173)</formula>
    </cfRule>
  </conditionalFormatting>
  <conditionalFormatting sqref="W174">
    <cfRule type="expression" dxfId="400" priority="405">
      <formula>AND(V173&lt;&gt;"",X173&lt;&gt;"",J173=X173,L173=V173)</formula>
    </cfRule>
  </conditionalFormatting>
  <conditionalFormatting sqref="V183">
    <cfRule type="expression" dxfId="399" priority="402">
      <formula>V183&lt;&gt;""</formula>
    </cfRule>
    <cfRule type="expression" dxfId="398" priority="404">
      <formula>AND(J182=X182,L182=V182,V182&lt;&gt;"",X182&lt;&gt;"")</formula>
    </cfRule>
  </conditionalFormatting>
  <conditionalFormatting sqref="X183">
    <cfRule type="expression" dxfId="397" priority="401">
      <formula>X183&lt;&gt;""</formula>
    </cfRule>
    <cfRule type="expression" dxfId="396" priority="403">
      <formula>AND(J182=X182,L182=V182,V182&lt;&gt;"",X182&lt;&gt;"")</formula>
    </cfRule>
  </conditionalFormatting>
  <conditionalFormatting sqref="U183">
    <cfRule type="expression" dxfId="395" priority="400">
      <formula>AND(V182&lt;&gt;"",X182&lt;&gt;"",J182=X182,L182=V182)</formula>
    </cfRule>
  </conditionalFormatting>
  <conditionalFormatting sqref="W183">
    <cfRule type="expression" dxfId="394" priority="399">
      <formula>AND(V182&lt;&gt;"",X182&lt;&gt;"",J182=X182,L182=V182)</formula>
    </cfRule>
  </conditionalFormatting>
  <conditionalFormatting sqref="V192">
    <cfRule type="expression" dxfId="393" priority="396">
      <formula>V192&lt;&gt;""</formula>
    </cfRule>
    <cfRule type="expression" dxfId="392" priority="398">
      <formula>AND(J191=X191,L191=V191,V191&lt;&gt;"",X191&lt;&gt;"")</formula>
    </cfRule>
  </conditionalFormatting>
  <conditionalFormatting sqref="X192">
    <cfRule type="expression" dxfId="391" priority="395">
      <formula>X192&lt;&gt;""</formula>
    </cfRule>
    <cfRule type="expression" dxfId="390" priority="397">
      <formula>AND(J191=X191,L191=V191,V191&lt;&gt;"",X191&lt;&gt;"")</formula>
    </cfRule>
  </conditionalFormatting>
  <conditionalFormatting sqref="U192">
    <cfRule type="expression" dxfId="389" priority="394">
      <formula>AND(V191&lt;&gt;"",X191&lt;&gt;"",J191=X191,L191=V191)</formula>
    </cfRule>
  </conditionalFormatting>
  <conditionalFormatting sqref="W192">
    <cfRule type="expression" dxfId="388" priority="393">
      <formula>AND(V191&lt;&gt;"",X191&lt;&gt;"",J191=X191,L191=V191)</formula>
    </cfRule>
  </conditionalFormatting>
  <conditionalFormatting sqref="V201">
    <cfRule type="expression" dxfId="387" priority="390">
      <formula>V201&lt;&gt;""</formula>
    </cfRule>
    <cfRule type="expression" dxfId="386" priority="392">
      <formula>AND(J200=X200,L200=V200,V200&lt;&gt;"",X200&lt;&gt;"")</formula>
    </cfRule>
  </conditionalFormatting>
  <conditionalFormatting sqref="X201">
    <cfRule type="expression" dxfId="385" priority="389">
      <formula>X201&lt;&gt;""</formula>
    </cfRule>
    <cfRule type="expression" dxfId="384" priority="391">
      <formula>AND(J200=X200,L200=V200,V200&lt;&gt;"",X200&lt;&gt;"")</formula>
    </cfRule>
  </conditionalFormatting>
  <conditionalFormatting sqref="U201">
    <cfRule type="expression" dxfId="383" priority="388">
      <formula>AND(V200&lt;&gt;"",X200&lt;&gt;"",J200=X200,L200=V200)</formula>
    </cfRule>
  </conditionalFormatting>
  <conditionalFormatting sqref="W201">
    <cfRule type="expression" dxfId="382" priority="387">
      <formula>AND(V200&lt;&gt;"",X200&lt;&gt;"",J200=X200,L200=V200)</formula>
    </cfRule>
  </conditionalFormatting>
  <conditionalFormatting sqref="V266">
    <cfRule type="expression" dxfId="381" priority="384">
      <formula>V266&lt;&gt;""</formula>
    </cfRule>
    <cfRule type="expression" dxfId="380" priority="386">
      <formula>AND(J265=X265,L265=V265,V265&lt;&gt;"",X265&lt;&gt;"")</formula>
    </cfRule>
  </conditionalFormatting>
  <conditionalFormatting sqref="X266">
    <cfRule type="expression" dxfId="379" priority="383">
      <formula>X266&lt;&gt;""</formula>
    </cfRule>
    <cfRule type="expression" dxfId="378" priority="385">
      <formula>AND(J265=X265,L265=V265,V265&lt;&gt;"",X265&lt;&gt;"")</formula>
    </cfRule>
  </conditionalFormatting>
  <conditionalFormatting sqref="U266">
    <cfRule type="expression" dxfId="377" priority="382">
      <formula>AND(V265&lt;&gt;"",X265&lt;&gt;"",J265=X265,L265=V265)</formula>
    </cfRule>
  </conditionalFormatting>
  <conditionalFormatting sqref="W266">
    <cfRule type="expression" dxfId="376" priority="381">
      <formula>AND(V265&lt;&gt;"",X265&lt;&gt;"",J265=X265,L265=V265)</formula>
    </cfRule>
  </conditionalFormatting>
  <conditionalFormatting sqref="V275">
    <cfRule type="expression" dxfId="375" priority="378">
      <formula>V275&lt;&gt;""</formula>
    </cfRule>
    <cfRule type="expression" dxfId="374" priority="380">
      <formula>AND(J274=X274,L274=V274,V274&lt;&gt;"",X274&lt;&gt;"")</formula>
    </cfRule>
  </conditionalFormatting>
  <conditionalFormatting sqref="X275">
    <cfRule type="expression" dxfId="373" priority="377">
      <formula>X275&lt;&gt;""</formula>
    </cfRule>
    <cfRule type="expression" dxfId="372" priority="379">
      <formula>AND(J274=X274,L274=V274,V274&lt;&gt;"",X274&lt;&gt;"")</formula>
    </cfRule>
  </conditionalFormatting>
  <conditionalFormatting sqref="U275">
    <cfRule type="expression" dxfId="371" priority="376">
      <formula>AND(V274&lt;&gt;"",X274&lt;&gt;"",J274=X274,L274=V274)</formula>
    </cfRule>
  </conditionalFormatting>
  <conditionalFormatting sqref="W275">
    <cfRule type="expression" dxfId="370" priority="375">
      <formula>AND(V274&lt;&gt;"",X274&lt;&gt;"",J274=X274,L274=V274)</formula>
    </cfRule>
  </conditionalFormatting>
  <conditionalFormatting sqref="V19">
    <cfRule type="expression" dxfId="369" priority="372">
      <formula>V19&lt;&gt;""</formula>
    </cfRule>
    <cfRule type="expression" dxfId="368" priority="374">
      <formula>AND(V18=X18,V18=0,X18=0,V18&lt;&gt;"",X18&lt;&gt;"")</formula>
    </cfRule>
  </conditionalFormatting>
  <conditionalFormatting sqref="X19">
    <cfRule type="expression" dxfId="367" priority="371">
      <formula>X19&lt;&gt;""</formula>
    </cfRule>
    <cfRule type="expression" dxfId="366" priority="373">
      <formula>AND(V18=X18,V18=0,X18=0,V18&lt;&gt;"",X18&lt;&gt;"")</formula>
    </cfRule>
  </conditionalFormatting>
  <conditionalFormatting sqref="U19">
    <cfRule type="expression" dxfId="365" priority="370">
      <formula>AND(V18&lt;&gt;"",X18&lt;&gt;"",J18=X18,L18=V18)</formula>
    </cfRule>
  </conditionalFormatting>
  <conditionalFormatting sqref="W19">
    <cfRule type="expression" dxfId="364" priority="369">
      <formula>AND(V18&lt;&gt;"",X18&lt;&gt;"",J18=X18,L18=V18)</formula>
    </cfRule>
  </conditionalFormatting>
  <conditionalFormatting sqref="V28">
    <cfRule type="expression" dxfId="363" priority="366">
      <formula>V28&lt;&gt;""</formula>
    </cfRule>
    <cfRule type="expression" dxfId="362" priority="368">
      <formula>AND(V27=X27,V27=0,X27=0,V27&lt;&gt;"",X27&lt;&gt;"")</formula>
    </cfRule>
  </conditionalFormatting>
  <conditionalFormatting sqref="X28">
    <cfRule type="expression" dxfId="361" priority="365">
      <formula>X28&lt;&gt;""</formula>
    </cfRule>
    <cfRule type="expression" dxfId="360" priority="367">
      <formula>AND(V27=X27,V27=0,X27=0,V27&lt;&gt;"",X27&lt;&gt;"")</formula>
    </cfRule>
  </conditionalFormatting>
  <conditionalFormatting sqref="U28">
    <cfRule type="expression" dxfId="359" priority="364">
      <formula>AND(V27&lt;&gt;"",X27&lt;&gt;"",J27=X27,L27=V27)</formula>
    </cfRule>
  </conditionalFormatting>
  <conditionalFormatting sqref="W28">
    <cfRule type="expression" dxfId="358" priority="363">
      <formula>AND(V27&lt;&gt;"",X27&lt;&gt;"",J27=X27,L27=V27)</formula>
    </cfRule>
  </conditionalFormatting>
  <conditionalFormatting sqref="V37">
    <cfRule type="expression" dxfId="357" priority="360">
      <formula>V37&lt;&gt;""</formula>
    </cfRule>
    <cfRule type="expression" dxfId="356" priority="362">
      <formula>AND(V36=X36,V36=0,X36=0,V36&lt;&gt;"",X36&lt;&gt;"")</formula>
    </cfRule>
  </conditionalFormatting>
  <conditionalFormatting sqref="X37">
    <cfRule type="expression" dxfId="355" priority="359">
      <formula>X37&lt;&gt;""</formula>
    </cfRule>
    <cfRule type="expression" dxfId="354" priority="361">
      <formula>AND(V36=X36,V36=0,X36=0,V36&lt;&gt;"",X36&lt;&gt;"")</formula>
    </cfRule>
  </conditionalFormatting>
  <conditionalFormatting sqref="U37">
    <cfRule type="expression" dxfId="353" priority="358">
      <formula>AND(V36&lt;&gt;"",X36&lt;&gt;"",J36=X36,L36=V36)</formula>
    </cfRule>
  </conditionalFormatting>
  <conditionalFormatting sqref="W37">
    <cfRule type="expression" dxfId="352" priority="357">
      <formula>AND(V36&lt;&gt;"",X36&lt;&gt;"",J36=X36,L36=V36)</formula>
    </cfRule>
  </conditionalFormatting>
  <conditionalFormatting sqref="V46">
    <cfRule type="expression" dxfId="351" priority="354">
      <formula>V46&lt;&gt;""</formula>
    </cfRule>
    <cfRule type="expression" dxfId="350" priority="356">
      <formula>AND(V45=X45,V45=0,X45=0,V45&lt;&gt;"",X45&lt;&gt;"")</formula>
    </cfRule>
  </conditionalFormatting>
  <conditionalFormatting sqref="X46">
    <cfRule type="expression" dxfId="349" priority="353">
      <formula>X46&lt;&gt;""</formula>
    </cfRule>
    <cfRule type="expression" dxfId="348" priority="355">
      <formula>AND(V45=X45,V45=0,X45=0,V45&lt;&gt;"",X45&lt;&gt;"")</formula>
    </cfRule>
  </conditionalFormatting>
  <conditionalFormatting sqref="U46">
    <cfRule type="expression" dxfId="347" priority="352">
      <formula>AND(V45&lt;&gt;"",X45&lt;&gt;"",J45=X45,L45=V45)</formula>
    </cfRule>
  </conditionalFormatting>
  <conditionalFormatting sqref="W46">
    <cfRule type="expression" dxfId="346" priority="351">
      <formula>AND(V45&lt;&gt;"",X45&lt;&gt;"",J45=X45,L45=V45)</formula>
    </cfRule>
  </conditionalFormatting>
  <conditionalFormatting sqref="V55">
    <cfRule type="expression" dxfId="345" priority="348">
      <formula>V55&lt;&gt;""</formula>
    </cfRule>
    <cfRule type="expression" dxfId="344" priority="350">
      <formula>AND(V54=X54,V54=0,X54=0,V54&lt;&gt;"",X54&lt;&gt;"")</formula>
    </cfRule>
  </conditionalFormatting>
  <conditionalFormatting sqref="X55">
    <cfRule type="expression" dxfId="343" priority="347">
      <formula>X55&lt;&gt;""</formula>
    </cfRule>
    <cfRule type="expression" dxfId="342" priority="349">
      <formula>AND(V54=X54,V54=0,X54=0,V54&lt;&gt;"",X54&lt;&gt;"")</formula>
    </cfRule>
  </conditionalFormatting>
  <conditionalFormatting sqref="U55">
    <cfRule type="expression" dxfId="341" priority="346">
      <formula>AND(V54&lt;&gt;"",X54&lt;&gt;"",J54=X54,L54=V54)</formula>
    </cfRule>
  </conditionalFormatting>
  <conditionalFormatting sqref="W55">
    <cfRule type="expression" dxfId="340" priority="345">
      <formula>AND(V54&lt;&gt;"",X54&lt;&gt;"",J54=X54,L54=V54)</formula>
    </cfRule>
  </conditionalFormatting>
  <conditionalFormatting sqref="V64">
    <cfRule type="expression" dxfId="339" priority="342">
      <formula>V64&lt;&gt;""</formula>
    </cfRule>
    <cfRule type="expression" dxfId="338" priority="344">
      <formula>AND(V63=X63,V63=0,X63=0,V63&lt;&gt;"",X63&lt;&gt;"")</formula>
    </cfRule>
  </conditionalFormatting>
  <conditionalFormatting sqref="X64">
    <cfRule type="expression" dxfId="337" priority="341">
      <formula>X64&lt;&gt;""</formula>
    </cfRule>
    <cfRule type="expression" dxfId="336" priority="343">
      <formula>AND(V63=X63,V63=0,X63=0,V63&lt;&gt;"",X63&lt;&gt;"")</formula>
    </cfRule>
  </conditionalFormatting>
  <conditionalFormatting sqref="U64">
    <cfRule type="expression" dxfId="335" priority="340">
      <formula>AND(V63&lt;&gt;"",X63&lt;&gt;"",J63=X63,L63=V63)</formula>
    </cfRule>
  </conditionalFormatting>
  <conditionalFormatting sqref="W64">
    <cfRule type="expression" dxfId="334" priority="339">
      <formula>AND(V63&lt;&gt;"",X63&lt;&gt;"",J63=X63,L63=V63)</formula>
    </cfRule>
  </conditionalFormatting>
  <conditionalFormatting sqref="V73">
    <cfRule type="expression" dxfId="333" priority="336">
      <formula>V73&lt;&gt;""</formula>
    </cfRule>
    <cfRule type="expression" dxfId="332" priority="338">
      <formula>AND(V72=X72,V72=0,X72=0,V72&lt;&gt;"",X72&lt;&gt;"")</formula>
    </cfRule>
  </conditionalFormatting>
  <conditionalFormatting sqref="X73">
    <cfRule type="expression" dxfId="331" priority="335">
      <formula>X73&lt;&gt;""</formula>
    </cfRule>
    <cfRule type="expression" dxfId="330" priority="337">
      <formula>AND(V72=X72,V72=0,X72=0,V72&lt;&gt;"",X72&lt;&gt;"")</formula>
    </cfRule>
  </conditionalFormatting>
  <conditionalFormatting sqref="U73">
    <cfRule type="expression" dxfId="329" priority="334">
      <formula>AND(V72&lt;&gt;"",X72&lt;&gt;"",J72=X72,L72=V72)</formula>
    </cfRule>
  </conditionalFormatting>
  <conditionalFormatting sqref="W73">
    <cfRule type="expression" dxfId="328" priority="333">
      <formula>AND(V72&lt;&gt;"",X72&lt;&gt;"",J72=X72,L72=V72)</formula>
    </cfRule>
  </conditionalFormatting>
  <conditionalFormatting sqref="V175">
    <cfRule type="expression" dxfId="327" priority="330">
      <formula>V175&lt;&gt;""</formula>
    </cfRule>
    <cfRule type="expression" dxfId="326" priority="332">
      <formula>AND(V174=X174,V174=0,X174=0,V174&lt;&gt;"",X174&lt;&gt;"")</formula>
    </cfRule>
  </conditionalFormatting>
  <conditionalFormatting sqref="X175">
    <cfRule type="expression" dxfId="325" priority="329">
      <formula>X175&lt;&gt;""</formula>
    </cfRule>
    <cfRule type="expression" dxfId="324" priority="331">
      <formula>AND(V174=X174,V174=0,X174=0,V174&lt;&gt;"",X174&lt;&gt;"")</formula>
    </cfRule>
  </conditionalFormatting>
  <conditionalFormatting sqref="U175">
    <cfRule type="expression" dxfId="323" priority="328">
      <formula>AND(V174&lt;&gt;"",X174&lt;&gt;"",J174=X174,L174=V174)</formula>
    </cfRule>
  </conditionalFormatting>
  <conditionalFormatting sqref="W175">
    <cfRule type="expression" dxfId="322" priority="327">
      <formula>AND(V174&lt;&gt;"",X174&lt;&gt;"",J174=X174,L174=V174)</formula>
    </cfRule>
  </conditionalFormatting>
  <conditionalFormatting sqref="V184">
    <cfRule type="expression" dxfId="321" priority="324">
      <formula>V184&lt;&gt;""</formula>
    </cfRule>
    <cfRule type="expression" dxfId="320" priority="326">
      <formula>AND(V183=X183,V183=0,X183=0,V183&lt;&gt;"",X183&lt;&gt;"")</formula>
    </cfRule>
  </conditionalFormatting>
  <conditionalFormatting sqref="X184">
    <cfRule type="expression" dxfId="319" priority="323">
      <formula>X184&lt;&gt;""</formula>
    </cfRule>
    <cfRule type="expression" dxfId="318" priority="325">
      <formula>AND(V183=X183,V183=0,X183=0,V183&lt;&gt;"",X183&lt;&gt;"")</formula>
    </cfRule>
  </conditionalFormatting>
  <conditionalFormatting sqref="U184">
    <cfRule type="expression" dxfId="317" priority="322">
      <formula>AND(V183&lt;&gt;"",X183&lt;&gt;"",J183=X183,L183=V183)</formula>
    </cfRule>
  </conditionalFormatting>
  <conditionalFormatting sqref="W184">
    <cfRule type="expression" dxfId="316" priority="321">
      <formula>AND(V183&lt;&gt;"",X183&lt;&gt;"",J183=X183,L183=V183)</formula>
    </cfRule>
  </conditionalFormatting>
  <conditionalFormatting sqref="V193">
    <cfRule type="expression" dxfId="315" priority="318">
      <formula>V193&lt;&gt;""</formula>
    </cfRule>
    <cfRule type="expression" dxfId="314" priority="320">
      <formula>AND(V192=X192,V192=0,X192=0,V192&lt;&gt;"",X192&lt;&gt;"")</formula>
    </cfRule>
  </conditionalFormatting>
  <conditionalFormatting sqref="X193">
    <cfRule type="expression" dxfId="313" priority="317">
      <formula>X193&lt;&gt;""</formula>
    </cfRule>
    <cfRule type="expression" dxfId="312" priority="319">
      <formula>AND(V192=X192,V192=0,X192=0,V192&lt;&gt;"",X192&lt;&gt;"")</formula>
    </cfRule>
  </conditionalFormatting>
  <conditionalFormatting sqref="U193">
    <cfRule type="expression" dxfId="311" priority="316">
      <formula>AND(V192&lt;&gt;"",X192&lt;&gt;"",J192=X192,L192=V192)</formula>
    </cfRule>
  </conditionalFormatting>
  <conditionalFormatting sqref="W193">
    <cfRule type="expression" dxfId="310" priority="315">
      <formula>AND(V192&lt;&gt;"",X192&lt;&gt;"",J192=X192,L192=V192)</formula>
    </cfRule>
  </conditionalFormatting>
  <conditionalFormatting sqref="V202">
    <cfRule type="expression" dxfId="309" priority="312">
      <formula>V202&lt;&gt;""</formula>
    </cfRule>
    <cfRule type="expression" dxfId="308" priority="314">
      <formula>AND(V201=X201,V201=0,X201=0,V201&lt;&gt;"",X201&lt;&gt;"")</formula>
    </cfRule>
  </conditionalFormatting>
  <conditionalFormatting sqref="X202">
    <cfRule type="expression" dxfId="307" priority="311">
      <formula>X202&lt;&gt;""</formula>
    </cfRule>
    <cfRule type="expression" dxfId="306" priority="313">
      <formula>AND(V201=X201,V201=0,X201=0,V201&lt;&gt;"",X201&lt;&gt;"")</formula>
    </cfRule>
  </conditionalFormatting>
  <conditionalFormatting sqref="U202">
    <cfRule type="expression" dxfId="305" priority="310">
      <formula>AND(V201&lt;&gt;"",X201&lt;&gt;"",J201=X201,L201=V201)</formula>
    </cfRule>
  </conditionalFormatting>
  <conditionalFormatting sqref="W202">
    <cfRule type="expression" dxfId="304" priority="309">
      <formula>AND(V201&lt;&gt;"",X201&lt;&gt;"",J201=X201,L201=V201)</formula>
    </cfRule>
  </conditionalFormatting>
  <conditionalFormatting sqref="V267">
    <cfRule type="expression" dxfId="303" priority="306">
      <formula>V267&lt;&gt;""</formula>
    </cfRule>
    <cfRule type="expression" dxfId="302" priority="308">
      <formula>AND(V266=X266,V266=0,X266=0,V266&lt;&gt;"",X266&lt;&gt;"")</formula>
    </cfRule>
  </conditionalFormatting>
  <conditionalFormatting sqref="X267">
    <cfRule type="expression" dxfId="301" priority="305">
      <formula>X267&lt;&gt;""</formula>
    </cfRule>
    <cfRule type="expression" dxfId="300" priority="307">
      <formula>AND(V266=X266,V266=0,X266=0,V266&lt;&gt;"",X266&lt;&gt;"")</formula>
    </cfRule>
  </conditionalFormatting>
  <conditionalFormatting sqref="U267">
    <cfRule type="expression" dxfId="299" priority="304">
      <formula>AND(V266&lt;&gt;"",X266&lt;&gt;"",J266=X266,L266=V266)</formula>
    </cfRule>
  </conditionalFormatting>
  <conditionalFormatting sqref="W267">
    <cfRule type="expression" dxfId="298" priority="303">
      <formula>AND(V266&lt;&gt;"",X266&lt;&gt;"",J266=X266,L266=V266)</formula>
    </cfRule>
  </conditionalFormatting>
  <conditionalFormatting sqref="V276">
    <cfRule type="expression" dxfId="297" priority="300">
      <formula>V276&lt;&gt;""</formula>
    </cfRule>
    <cfRule type="expression" dxfId="296" priority="302">
      <formula>AND(V275=X275,V275=0,X275=0,V275&lt;&gt;"",X275&lt;&gt;"")</formula>
    </cfRule>
  </conditionalFormatting>
  <conditionalFormatting sqref="X276">
    <cfRule type="expression" dxfId="295" priority="299">
      <formula>X276&lt;&gt;""</formula>
    </cfRule>
    <cfRule type="expression" dxfId="294" priority="301">
      <formula>AND(V275=X275,V275=0,X275=0,V275&lt;&gt;"",X275&lt;&gt;"")</formula>
    </cfRule>
  </conditionalFormatting>
  <conditionalFormatting sqref="U276">
    <cfRule type="expression" dxfId="293" priority="298">
      <formula>AND(V275&lt;&gt;"",X275&lt;&gt;"",J275=X275,L275=V275)</formula>
    </cfRule>
  </conditionalFormatting>
  <conditionalFormatting sqref="W276">
    <cfRule type="expression" dxfId="292" priority="297">
      <formula>AND(V275&lt;&gt;"",X275&lt;&gt;"",J275=X275,L275=V275)</formula>
    </cfRule>
  </conditionalFormatting>
  <conditionalFormatting sqref="M85">
    <cfRule type="expression" dxfId="291" priority="287" stopIfTrue="1">
      <formula>AND(ISNUMBER(P85),ISNUMBER(R85),P85&gt;R85)</formula>
    </cfRule>
  </conditionalFormatting>
  <conditionalFormatting sqref="N80 Z80 N89 N98 N116 Z98 N125 Z125 N107 Z107 Z89 N134 Z134 N143 Z143 Z116">
    <cfRule type="expression" dxfId="290" priority="288" stopIfTrue="1">
      <formula>J80&gt;L80</formula>
    </cfRule>
    <cfRule type="expression" dxfId="289" priority="289" stopIfTrue="1">
      <formula>J80&lt;L80</formula>
    </cfRule>
  </conditionalFormatting>
  <conditionalFormatting sqref="H80 T80 H89 H98 T116 T98 T125 H107 T107 T89 T134 T143 H116 H125 H134 H143">
    <cfRule type="expression" dxfId="288" priority="290" stopIfTrue="1">
      <formula>J80&gt;L80</formula>
    </cfRule>
    <cfRule type="expression" dxfId="287" priority="291" stopIfTrue="1">
      <formula>J80&lt;L80</formula>
    </cfRule>
  </conditionalFormatting>
  <conditionalFormatting sqref="N85">
    <cfRule type="expression" dxfId="286" priority="292" stopIfTrue="1">
      <formula>OR(P85&gt;R85,N85&amp;" win on away goals"=P84)</formula>
    </cfRule>
    <cfRule type="expression" dxfId="285" priority="293" stopIfTrue="1">
      <formula>OR(P85&lt;R85,T85&amp;" win on away goals"=P84)</formula>
    </cfRule>
  </conditionalFormatting>
  <conditionalFormatting sqref="T85">
    <cfRule type="expression" dxfId="284" priority="294" stopIfTrue="1">
      <formula>OR(P85&gt;R85,N85&amp;" win on away goals"=P84)</formula>
    </cfRule>
    <cfRule type="expression" dxfId="283" priority="295" stopIfTrue="1">
      <formula>OR(P85&lt;R85,T85&amp;" win on away goals"=P84)</formula>
    </cfRule>
  </conditionalFormatting>
  <conditionalFormatting sqref="J134 L134 V134 X134 J107 L107 J80 L80 J116 L116 V116 X116 J125 L125 V125 X125 J89 L89 V89 X89 J98 L98 V98 X98 V107 X107 V80 X80 J143 L143 V143 X143">
    <cfRule type="expression" dxfId="282" priority="296" stopIfTrue="1">
      <formula>ISBLANK(J80)</formula>
    </cfRule>
  </conditionalFormatting>
  <conditionalFormatting sqref="V81">
    <cfRule type="expression" dxfId="281" priority="282">
      <formula>V81&lt;&gt;""</formula>
    </cfRule>
    <cfRule type="expression" dxfId="280" priority="286">
      <formula>AND(J80=X80,L80=V80,V80&lt;&gt;"",X80&lt;&gt;"")</formula>
    </cfRule>
  </conditionalFormatting>
  <conditionalFormatting sqref="X81">
    <cfRule type="expression" dxfId="279" priority="281">
      <formula>X81&lt;&gt;""</formula>
    </cfRule>
    <cfRule type="expression" dxfId="278" priority="285">
      <formula>AND(J80=X80,L80=V80,V80&lt;&gt;"",X80&lt;&gt;"")</formula>
    </cfRule>
  </conditionalFormatting>
  <conditionalFormatting sqref="V82">
    <cfRule type="expression" dxfId="277" priority="280">
      <formula>V82&lt;&gt;""</formula>
    </cfRule>
    <cfRule type="expression" dxfId="276" priority="284">
      <formula>AND(V81=X81,V81=0,X81=0,V81&lt;&gt;"",X81&lt;&gt;"")</formula>
    </cfRule>
  </conditionalFormatting>
  <conditionalFormatting sqref="X82">
    <cfRule type="expression" dxfId="275" priority="279">
      <formula>X82&lt;&gt;""</formula>
    </cfRule>
    <cfRule type="expression" dxfId="274" priority="283">
      <formula>AND(V81=X81,V81=0,X81=0,V81&lt;&gt;"",X81&lt;&gt;"")</formula>
    </cfRule>
  </conditionalFormatting>
  <conditionalFormatting sqref="U81:U82">
    <cfRule type="expression" dxfId="273" priority="278">
      <formula>AND(V80&lt;&gt;"",X80&lt;&gt;"",J80=X80,L80=V80)</formula>
    </cfRule>
  </conditionalFormatting>
  <conditionalFormatting sqref="W81:W82">
    <cfRule type="expression" dxfId="272" priority="277">
      <formula>AND(V80&lt;&gt;"",X80&lt;&gt;"",J80=X80,L80=V80)</formula>
    </cfRule>
  </conditionalFormatting>
  <conditionalFormatting sqref="M94">
    <cfRule type="expression" dxfId="271" priority="272" stopIfTrue="1">
      <formula>AND(ISNUMBER(P94),ISNUMBER(R94),P94&gt;R94)</formula>
    </cfRule>
  </conditionalFormatting>
  <conditionalFormatting sqref="N94">
    <cfRule type="expression" dxfId="270" priority="273" stopIfTrue="1">
      <formula>OR(P94&gt;R94,N94&amp;" win on away goals"=P93)</formula>
    </cfRule>
    <cfRule type="expression" dxfId="269" priority="274" stopIfTrue="1">
      <formula>OR(P94&lt;R94,T94&amp;" win on away goals"=P93)</formula>
    </cfRule>
  </conditionalFormatting>
  <conditionalFormatting sqref="T94">
    <cfRule type="expression" dxfId="268" priority="275" stopIfTrue="1">
      <formula>OR(P94&gt;R94,N94&amp;" win on away goals"=P93)</formula>
    </cfRule>
    <cfRule type="expression" dxfId="267" priority="276" stopIfTrue="1">
      <formula>OR(P94&lt;R94,T94&amp;" win on away goals"=P93)</formula>
    </cfRule>
  </conditionalFormatting>
  <conditionalFormatting sqref="M103">
    <cfRule type="expression" dxfId="266" priority="267" stopIfTrue="1">
      <formula>AND(ISNUMBER(P103),ISNUMBER(R103),P103&gt;R103)</formula>
    </cfRule>
  </conditionalFormatting>
  <conditionalFormatting sqref="N103">
    <cfRule type="expression" dxfId="265" priority="268" stopIfTrue="1">
      <formula>OR(P103&gt;R103,N103&amp;" win on away goals"=P102)</formula>
    </cfRule>
    <cfRule type="expression" dxfId="264" priority="269" stopIfTrue="1">
      <formula>OR(P103&lt;R103,T103&amp;" win on away goals"=P102)</formula>
    </cfRule>
  </conditionalFormatting>
  <conditionalFormatting sqref="T103">
    <cfRule type="expression" dxfId="263" priority="270" stopIfTrue="1">
      <formula>OR(P103&gt;R103,N103&amp;" win on away goals"=P102)</formula>
    </cfRule>
    <cfRule type="expression" dxfId="262" priority="271" stopIfTrue="1">
      <formula>OR(P103&lt;R103,T103&amp;" win on away goals"=P102)</formula>
    </cfRule>
  </conditionalFormatting>
  <conditionalFormatting sqref="M112">
    <cfRule type="expression" dxfId="261" priority="262" stopIfTrue="1">
      <formula>AND(ISNUMBER(P112),ISNUMBER(R112),P112&gt;R112)</formula>
    </cfRule>
  </conditionalFormatting>
  <conditionalFormatting sqref="N112">
    <cfRule type="expression" dxfId="260" priority="263" stopIfTrue="1">
      <formula>OR(P112&gt;R112,N112&amp;" win on away goals"=P111)</formula>
    </cfRule>
    <cfRule type="expression" dxfId="259" priority="264" stopIfTrue="1">
      <formula>OR(P112&lt;R112,T112&amp;" win on away goals"=P111)</formula>
    </cfRule>
  </conditionalFormatting>
  <conditionalFormatting sqref="T112">
    <cfRule type="expression" dxfId="258" priority="265" stopIfTrue="1">
      <formula>OR(P112&gt;R112,N112&amp;" win on away goals"=P111)</formula>
    </cfRule>
    <cfRule type="expression" dxfId="257" priority="266" stopIfTrue="1">
      <formula>OR(P112&lt;R112,T112&amp;" win on away goals"=P111)</formula>
    </cfRule>
  </conditionalFormatting>
  <conditionalFormatting sqref="M121">
    <cfRule type="expression" dxfId="256" priority="257" stopIfTrue="1">
      <formula>AND(ISNUMBER(P121),ISNUMBER(R121),P121&gt;R121)</formula>
    </cfRule>
  </conditionalFormatting>
  <conditionalFormatting sqref="N121">
    <cfRule type="expression" dxfId="255" priority="258" stopIfTrue="1">
      <formula>OR(P121&gt;R121,N121&amp;" win on away goals"=P120)</formula>
    </cfRule>
    <cfRule type="expression" dxfId="254" priority="259" stopIfTrue="1">
      <formula>OR(P121&lt;R121,T121&amp;" win on away goals"=P120)</formula>
    </cfRule>
  </conditionalFormatting>
  <conditionalFormatting sqref="T121">
    <cfRule type="expression" dxfId="253" priority="260" stopIfTrue="1">
      <formula>OR(P121&gt;R121,N121&amp;" win on away goals"=P120)</formula>
    </cfRule>
    <cfRule type="expression" dxfId="252" priority="261" stopIfTrue="1">
      <formula>OR(P121&lt;R121,T121&amp;" win on away goals"=P120)</formula>
    </cfRule>
  </conditionalFormatting>
  <conditionalFormatting sqref="M130">
    <cfRule type="expression" dxfId="251" priority="252" stopIfTrue="1">
      <formula>AND(ISNUMBER(P130),ISNUMBER(R130),P130&gt;R130)</formula>
    </cfRule>
  </conditionalFormatting>
  <conditionalFormatting sqref="N130">
    <cfRule type="expression" dxfId="250" priority="253" stopIfTrue="1">
      <formula>OR(P130&gt;R130,N130&amp;" win on away goals"=P129)</formula>
    </cfRule>
    <cfRule type="expression" dxfId="249" priority="254" stopIfTrue="1">
      <formula>OR(P130&lt;R130,T130&amp;" win on away goals"=P129)</formula>
    </cfRule>
  </conditionalFormatting>
  <conditionalFormatting sqref="T130">
    <cfRule type="expression" dxfId="248" priority="255" stopIfTrue="1">
      <formula>OR(P130&gt;R130,N130&amp;" win on away goals"=P129)</formula>
    </cfRule>
    <cfRule type="expression" dxfId="247" priority="256" stopIfTrue="1">
      <formula>OR(P130&lt;R130,T130&amp;" win on away goals"=P129)</formula>
    </cfRule>
  </conditionalFormatting>
  <conditionalFormatting sqref="M139">
    <cfRule type="expression" dxfId="246" priority="247" stopIfTrue="1">
      <formula>AND(ISNUMBER(P139),ISNUMBER(R139),P139&gt;R139)</formula>
    </cfRule>
  </conditionalFormatting>
  <conditionalFormatting sqref="N139">
    <cfRule type="expression" dxfId="245" priority="248" stopIfTrue="1">
      <formula>OR(P139&gt;R139,N139&amp;" win on away goals"=P138)</formula>
    </cfRule>
    <cfRule type="expression" dxfId="244" priority="249" stopIfTrue="1">
      <formula>OR(P139&lt;R139,T139&amp;" win on away goals"=P138)</formula>
    </cfRule>
  </conditionalFormatting>
  <conditionalFormatting sqref="T139">
    <cfRule type="expression" dxfId="243" priority="250" stopIfTrue="1">
      <formula>OR(P139&gt;R139,N139&amp;" win on away goals"=P138)</formula>
    </cfRule>
    <cfRule type="expression" dxfId="242" priority="251" stopIfTrue="1">
      <formula>OR(P139&lt;R139,T139&amp;" win on away goals"=P138)</formula>
    </cfRule>
  </conditionalFormatting>
  <conditionalFormatting sqref="M148">
    <cfRule type="expression" dxfId="241" priority="242" stopIfTrue="1">
      <formula>AND(ISNUMBER(P148),ISNUMBER(R148),P148&gt;R148)</formula>
    </cfRule>
  </conditionalFormatting>
  <conditionalFormatting sqref="N148">
    <cfRule type="expression" dxfId="240" priority="243" stopIfTrue="1">
      <formula>OR(P148&gt;R148,N148&amp;" win on away goals"=P147)</formula>
    </cfRule>
    <cfRule type="expression" dxfId="239" priority="244" stopIfTrue="1">
      <formula>OR(P148&lt;R148,T148&amp;" win on away goals"=P147)</formula>
    </cfRule>
  </conditionalFormatting>
  <conditionalFormatting sqref="T148">
    <cfRule type="expression" dxfId="238" priority="245" stopIfTrue="1">
      <formula>OR(P148&gt;R148,N148&amp;" win on away goals"=P147)</formula>
    </cfRule>
    <cfRule type="expression" dxfId="237" priority="246" stopIfTrue="1">
      <formula>OR(P148&lt;R148,T148&amp;" win on away goals"=P147)</formula>
    </cfRule>
  </conditionalFormatting>
  <conditionalFormatting sqref="V90">
    <cfRule type="expression" dxfId="236" priority="239">
      <formula>V90&lt;&gt;""</formula>
    </cfRule>
    <cfRule type="expression" dxfId="235" priority="241">
      <formula>AND(J89=X89,L89=V89,V89&lt;&gt;"",X89&lt;&gt;"")</formula>
    </cfRule>
  </conditionalFormatting>
  <conditionalFormatting sqref="X90">
    <cfRule type="expression" dxfId="234" priority="238">
      <formula>X90&lt;&gt;""</formula>
    </cfRule>
    <cfRule type="expression" dxfId="233" priority="240">
      <formula>AND(J89=X89,L89=V89,V89&lt;&gt;"",X89&lt;&gt;"")</formula>
    </cfRule>
  </conditionalFormatting>
  <conditionalFormatting sqref="U90">
    <cfRule type="expression" dxfId="232" priority="237">
      <formula>AND(V89&lt;&gt;"",X89&lt;&gt;"",J89=X89,L89=V89)</formula>
    </cfRule>
  </conditionalFormatting>
  <conditionalFormatting sqref="W90">
    <cfRule type="expression" dxfId="231" priority="236">
      <formula>AND(V89&lt;&gt;"",X89&lt;&gt;"",J89=X89,L89=V89)</formula>
    </cfRule>
  </conditionalFormatting>
  <conditionalFormatting sqref="V99">
    <cfRule type="expression" dxfId="230" priority="233">
      <formula>V99&lt;&gt;""</formula>
    </cfRule>
    <cfRule type="expression" dxfId="229" priority="235">
      <formula>AND(J98=X98,L98=V98,V98&lt;&gt;"",X98&lt;&gt;"")</formula>
    </cfRule>
  </conditionalFormatting>
  <conditionalFormatting sqref="X99">
    <cfRule type="expression" dxfId="228" priority="232">
      <formula>X99&lt;&gt;""</formula>
    </cfRule>
    <cfRule type="expression" dxfId="227" priority="234">
      <formula>AND(J98=X98,L98=V98,V98&lt;&gt;"",X98&lt;&gt;"")</formula>
    </cfRule>
  </conditionalFormatting>
  <conditionalFormatting sqref="U99">
    <cfRule type="expression" dxfId="226" priority="231">
      <formula>AND(V98&lt;&gt;"",X98&lt;&gt;"",J98=X98,L98=V98)</formula>
    </cfRule>
  </conditionalFormatting>
  <conditionalFormatting sqref="W99">
    <cfRule type="expression" dxfId="225" priority="230">
      <formula>AND(V98&lt;&gt;"",X98&lt;&gt;"",J98=X98,L98=V98)</formula>
    </cfRule>
  </conditionalFormatting>
  <conditionalFormatting sqref="V108">
    <cfRule type="expression" dxfId="224" priority="227">
      <formula>V108&lt;&gt;""</formula>
    </cfRule>
    <cfRule type="expression" dxfId="223" priority="229">
      <formula>AND(J107=X107,L107=V107,V107&lt;&gt;"",X107&lt;&gt;"")</formula>
    </cfRule>
  </conditionalFormatting>
  <conditionalFormatting sqref="X108">
    <cfRule type="expression" dxfId="222" priority="226">
      <formula>X108&lt;&gt;""</formula>
    </cfRule>
    <cfRule type="expression" dxfId="221" priority="228">
      <formula>AND(J107=X107,L107=V107,V107&lt;&gt;"",X107&lt;&gt;"")</formula>
    </cfRule>
  </conditionalFormatting>
  <conditionalFormatting sqref="U108">
    <cfRule type="expression" dxfId="220" priority="225">
      <formula>AND(V107&lt;&gt;"",X107&lt;&gt;"",J107=X107,L107=V107)</formula>
    </cfRule>
  </conditionalFormatting>
  <conditionalFormatting sqref="W108">
    <cfRule type="expression" dxfId="219" priority="224">
      <formula>AND(V107&lt;&gt;"",X107&lt;&gt;"",J107=X107,L107=V107)</formula>
    </cfRule>
  </conditionalFormatting>
  <conditionalFormatting sqref="V117">
    <cfRule type="expression" dxfId="218" priority="221">
      <formula>V117&lt;&gt;""</formula>
    </cfRule>
    <cfRule type="expression" dxfId="217" priority="223">
      <formula>AND(J116=X116,L116=V116,V116&lt;&gt;"",X116&lt;&gt;"")</formula>
    </cfRule>
  </conditionalFormatting>
  <conditionalFormatting sqref="X117">
    <cfRule type="expression" dxfId="216" priority="220">
      <formula>X117&lt;&gt;""</formula>
    </cfRule>
    <cfRule type="expression" dxfId="215" priority="222">
      <formula>AND(J116=X116,L116=V116,V116&lt;&gt;"",X116&lt;&gt;"")</formula>
    </cfRule>
  </conditionalFormatting>
  <conditionalFormatting sqref="U117">
    <cfRule type="expression" dxfId="214" priority="219">
      <formula>AND(V116&lt;&gt;"",X116&lt;&gt;"",J116=X116,L116=V116)</formula>
    </cfRule>
  </conditionalFormatting>
  <conditionalFormatting sqref="W117">
    <cfRule type="expression" dxfId="213" priority="218">
      <formula>AND(V116&lt;&gt;"",X116&lt;&gt;"",J116=X116,L116=V116)</formula>
    </cfRule>
  </conditionalFormatting>
  <conditionalFormatting sqref="V126">
    <cfRule type="expression" dxfId="212" priority="215">
      <formula>V126&lt;&gt;""</formula>
    </cfRule>
    <cfRule type="expression" dxfId="211" priority="217">
      <formula>AND(J125=X125,L125=V125,V125&lt;&gt;"",X125&lt;&gt;"")</formula>
    </cfRule>
  </conditionalFormatting>
  <conditionalFormatting sqref="X126">
    <cfRule type="expression" dxfId="210" priority="214">
      <formula>X126&lt;&gt;""</formula>
    </cfRule>
    <cfRule type="expression" dxfId="209" priority="216">
      <formula>AND(J125=X125,L125=V125,V125&lt;&gt;"",X125&lt;&gt;"")</formula>
    </cfRule>
  </conditionalFormatting>
  <conditionalFormatting sqref="U126">
    <cfRule type="expression" dxfId="208" priority="213">
      <formula>AND(V125&lt;&gt;"",X125&lt;&gt;"",J125=X125,L125=V125)</formula>
    </cfRule>
  </conditionalFormatting>
  <conditionalFormatting sqref="W126">
    <cfRule type="expression" dxfId="207" priority="212">
      <formula>AND(V125&lt;&gt;"",X125&lt;&gt;"",J125=X125,L125=V125)</formula>
    </cfRule>
  </conditionalFormatting>
  <conditionalFormatting sqref="V135">
    <cfRule type="expression" dxfId="206" priority="209">
      <formula>V135&lt;&gt;""</formula>
    </cfRule>
    <cfRule type="expression" dxfId="205" priority="211">
      <formula>AND(J134=X134,L134=V134,V134&lt;&gt;"",X134&lt;&gt;"")</formula>
    </cfRule>
  </conditionalFormatting>
  <conditionalFormatting sqref="X135">
    <cfRule type="expression" dxfId="204" priority="208">
      <formula>X135&lt;&gt;""</formula>
    </cfRule>
    <cfRule type="expression" dxfId="203" priority="210">
      <formula>AND(J134=X134,L134=V134,V134&lt;&gt;"",X134&lt;&gt;"")</formula>
    </cfRule>
  </conditionalFormatting>
  <conditionalFormatting sqref="U135">
    <cfRule type="expression" dxfId="202" priority="207">
      <formula>AND(V134&lt;&gt;"",X134&lt;&gt;"",J134=X134,L134=V134)</formula>
    </cfRule>
  </conditionalFormatting>
  <conditionalFormatting sqref="W135">
    <cfRule type="expression" dxfId="201" priority="206">
      <formula>AND(V134&lt;&gt;"",X134&lt;&gt;"",J134=X134,L134=V134)</formula>
    </cfRule>
  </conditionalFormatting>
  <conditionalFormatting sqref="V144">
    <cfRule type="expression" dxfId="200" priority="203">
      <formula>V144&lt;&gt;""</formula>
    </cfRule>
    <cfRule type="expression" dxfId="199" priority="205">
      <formula>AND(J143=X143,L143=V143,V143&lt;&gt;"",X143&lt;&gt;"")</formula>
    </cfRule>
  </conditionalFormatting>
  <conditionalFormatting sqref="X144">
    <cfRule type="expression" dxfId="198" priority="202">
      <formula>X144&lt;&gt;""</formula>
    </cfRule>
    <cfRule type="expression" dxfId="197" priority="204">
      <formula>AND(J143=X143,L143=V143,V143&lt;&gt;"",X143&lt;&gt;"")</formula>
    </cfRule>
  </conditionalFormatting>
  <conditionalFormatting sqref="U144">
    <cfRule type="expression" dxfId="196" priority="201">
      <formula>AND(V143&lt;&gt;"",X143&lt;&gt;"",J143=X143,L143=V143)</formula>
    </cfRule>
  </conditionalFormatting>
  <conditionalFormatting sqref="W144">
    <cfRule type="expression" dxfId="195" priority="200">
      <formula>AND(V143&lt;&gt;"",X143&lt;&gt;"",J143=X143,L143=V143)</formula>
    </cfRule>
  </conditionalFormatting>
  <conditionalFormatting sqref="V91">
    <cfRule type="expression" dxfId="194" priority="197">
      <formula>V91&lt;&gt;""</formula>
    </cfRule>
    <cfRule type="expression" dxfId="193" priority="199">
      <formula>AND(V90=X90,V90=0,X90=0,V90&lt;&gt;"",X90&lt;&gt;"")</formula>
    </cfRule>
  </conditionalFormatting>
  <conditionalFormatting sqref="X91">
    <cfRule type="expression" dxfId="192" priority="196">
      <formula>X91&lt;&gt;""</formula>
    </cfRule>
    <cfRule type="expression" dxfId="191" priority="198">
      <formula>AND(V90=X90,V90=0,X90=0,V90&lt;&gt;"",X90&lt;&gt;"")</formula>
    </cfRule>
  </conditionalFormatting>
  <conditionalFormatting sqref="U91">
    <cfRule type="expression" dxfId="190" priority="195">
      <formula>AND(V90&lt;&gt;"",X90&lt;&gt;"",J90=X90,L90=V90)</formula>
    </cfRule>
  </conditionalFormatting>
  <conditionalFormatting sqref="W91">
    <cfRule type="expression" dxfId="189" priority="194">
      <formula>AND(V90&lt;&gt;"",X90&lt;&gt;"",J90=X90,L90=V90)</formula>
    </cfRule>
  </conditionalFormatting>
  <conditionalFormatting sqref="V100">
    <cfRule type="expression" dxfId="188" priority="191">
      <formula>V100&lt;&gt;""</formula>
    </cfRule>
    <cfRule type="expression" dxfId="187" priority="193">
      <formula>AND(V99=X99,V99=0,X99=0,V99&lt;&gt;"",X99&lt;&gt;"")</formula>
    </cfRule>
  </conditionalFormatting>
  <conditionalFormatting sqref="X100">
    <cfRule type="expression" dxfId="186" priority="190">
      <formula>X100&lt;&gt;""</formula>
    </cfRule>
    <cfRule type="expression" dxfId="185" priority="192">
      <formula>AND(V99=X99,V99=0,X99=0,V99&lt;&gt;"",X99&lt;&gt;"")</formula>
    </cfRule>
  </conditionalFormatting>
  <conditionalFormatting sqref="U100">
    <cfRule type="expression" dxfId="184" priority="189">
      <formula>AND(V99&lt;&gt;"",X99&lt;&gt;"",J99=X99,L99=V99)</formula>
    </cfRule>
  </conditionalFormatting>
  <conditionalFormatting sqref="W100">
    <cfRule type="expression" dxfId="183" priority="188">
      <formula>AND(V99&lt;&gt;"",X99&lt;&gt;"",J99=X99,L99=V99)</formula>
    </cfRule>
  </conditionalFormatting>
  <conditionalFormatting sqref="V109">
    <cfRule type="expression" dxfId="182" priority="185">
      <formula>V109&lt;&gt;""</formula>
    </cfRule>
    <cfRule type="expression" dxfId="181" priority="187">
      <formula>AND(V108=X108,V108=0,X108=0,V108&lt;&gt;"",X108&lt;&gt;"")</formula>
    </cfRule>
  </conditionalFormatting>
  <conditionalFormatting sqref="X109">
    <cfRule type="expression" dxfId="180" priority="184">
      <formula>X109&lt;&gt;""</formula>
    </cfRule>
    <cfRule type="expression" dxfId="179" priority="186">
      <formula>AND(V108=X108,V108=0,X108=0,V108&lt;&gt;"",X108&lt;&gt;"")</formula>
    </cfRule>
  </conditionalFormatting>
  <conditionalFormatting sqref="U109">
    <cfRule type="expression" dxfId="178" priority="183">
      <formula>AND(V108&lt;&gt;"",X108&lt;&gt;"",J108=X108,L108=V108)</formula>
    </cfRule>
  </conditionalFormatting>
  <conditionalFormatting sqref="W109">
    <cfRule type="expression" dxfId="177" priority="182">
      <formula>AND(V108&lt;&gt;"",X108&lt;&gt;"",J108=X108,L108=V108)</formula>
    </cfRule>
  </conditionalFormatting>
  <conditionalFormatting sqref="V118">
    <cfRule type="expression" dxfId="176" priority="179">
      <formula>V118&lt;&gt;""</formula>
    </cfRule>
    <cfRule type="expression" dxfId="175" priority="181">
      <formula>AND(V117=X117,V117=0,X117=0,V117&lt;&gt;"",X117&lt;&gt;"")</formula>
    </cfRule>
  </conditionalFormatting>
  <conditionalFormatting sqref="X118">
    <cfRule type="expression" dxfId="174" priority="178">
      <formula>X118&lt;&gt;""</formula>
    </cfRule>
    <cfRule type="expression" dxfId="173" priority="180">
      <formula>AND(V117=X117,V117=0,X117=0,V117&lt;&gt;"",X117&lt;&gt;"")</formula>
    </cfRule>
  </conditionalFormatting>
  <conditionalFormatting sqref="U118">
    <cfRule type="expression" dxfId="172" priority="177">
      <formula>AND(V117&lt;&gt;"",X117&lt;&gt;"",J117=X117,L117=V117)</formula>
    </cfRule>
  </conditionalFormatting>
  <conditionalFormatting sqref="W118">
    <cfRule type="expression" dxfId="171" priority="176">
      <formula>AND(V117&lt;&gt;"",X117&lt;&gt;"",J117=X117,L117=V117)</formula>
    </cfRule>
  </conditionalFormatting>
  <conditionalFormatting sqref="V127">
    <cfRule type="expression" dxfId="170" priority="173">
      <formula>V127&lt;&gt;""</formula>
    </cfRule>
    <cfRule type="expression" dxfId="169" priority="175">
      <formula>AND(V126=X126,V126=0,X126=0,V126&lt;&gt;"",X126&lt;&gt;"")</formula>
    </cfRule>
  </conditionalFormatting>
  <conditionalFormatting sqref="X127">
    <cfRule type="expression" dxfId="168" priority="172">
      <formula>X127&lt;&gt;""</formula>
    </cfRule>
    <cfRule type="expression" dxfId="167" priority="174">
      <formula>AND(V126=X126,V126=0,X126=0,V126&lt;&gt;"",X126&lt;&gt;"")</formula>
    </cfRule>
  </conditionalFormatting>
  <conditionalFormatting sqref="U127">
    <cfRule type="expression" dxfId="166" priority="171">
      <formula>AND(V126&lt;&gt;"",X126&lt;&gt;"",J126=X126,L126=V126)</formula>
    </cfRule>
  </conditionalFormatting>
  <conditionalFormatting sqref="W127">
    <cfRule type="expression" dxfId="165" priority="170">
      <formula>AND(V126&lt;&gt;"",X126&lt;&gt;"",J126=X126,L126=V126)</formula>
    </cfRule>
  </conditionalFormatting>
  <conditionalFormatting sqref="V136">
    <cfRule type="expression" dxfId="164" priority="167">
      <formula>V136&lt;&gt;""</formula>
    </cfRule>
    <cfRule type="expression" dxfId="163" priority="169">
      <formula>AND(V135=X135,V135=0,X135=0,V135&lt;&gt;"",X135&lt;&gt;"")</formula>
    </cfRule>
  </conditionalFormatting>
  <conditionalFormatting sqref="X136">
    <cfRule type="expression" dxfId="162" priority="166">
      <formula>X136&lt;&gt;""</formula>
    </cfRule>
    <cfRule type="expression" dxfId="161" priority="168">
      <formula>AND(V135=X135,V135=0,X135=0,V135&lt;&gt;"",X135&lt;&gt;"")</formula>
    </cfRule>
  </conditionalFormatting>
  <conditionalFormatting sqref="U136">
    <cfRule type="expression" dxfId="160" priority="165">
      <formula>AND(V135&lt;&gt;"",X135&lt;&gt;"",J135=X135,L135=V135)</formula>
    </cfRule>
  </conditionalFormatting>
  <conditionalFormatting sqref="W136">
    <cfRule type="expression" dxfId="159" priority="164">
      <formula>AND(V135&lt;&gt;"",X135&lt;&gt;"",J135=X135,L135=V135)</formula>
    </cfRule>
  </conditionalFormatting>
  <conditionalFormatting sqref="V145">
    <cfRule type="expression" dxfId="158" priority="161">
      <formula>V145&lt;&gt;""</formula>
    </cfRule>
    <cfRule type="expression" dxfId="157" priority="163">
      <formula>AND(V144=X144,V144=0,X144=0,V144&lt;&gt;"",X144&lt;&gt;"")</formula>
    </cfRule>
  </conditionalFormatting>
  <conditionalFormatting sqref="X145">
    <cfRule type="expression" dxfId="156" priority="160">
      <formula>X145&lt;&gt;""</formula>
    </cfRule>
    <cfRule type="expression" dxfId="155" priority="162">
      <formula>AND(V144=X144,V144=0,X144=0,V144&lt;&gt;"",X144&lt;&gt;"")</formula>
    </cfRule>
  </conditionalFormatting>
  <conditionalFormatting sqref="U145">
    <cfRule type="expression" dxfId="154" priority="159">
      <formula>AND(V144&lt;&gt;"",X144&lt;&gt;"",J144=X144,L144=V144)</formula>
    </cfRule>
  </conditionalFormatting>
  <conditionalFormatting sqref="W145">
    <cfRule type="expression" dxfId="153" priority="158">
      <formula>AND(V144&lt;&gt;"",X144&lt;&gt;"",J144=X144,L144=V144)</formula>
    </cfRule>
  </conditionalFormatting>
  <conditionalFormatting sqref="N209 Z209 N218 Z218 N227 Z227 N236 Z236">
    <cfRule type="expression" dxfId="152" priority="153" stopIfTrue="1">
      <formula>J209&gt;L209</formula>
    </cfRule>
    <cfRule type="expression" dxfId="151" priority="154" stopIfTrue="1">
      <formula>J209&lt;L209</formula>
    </cfRule>
  </conditionalFormatting>
  <conditionalFormatting sqref="H209 T209 H218 T218 H227 T227 H236 T236">
    <cfRule type="expression" dxfId="150" priority="155" stopIfTrue="1">
      <formula>J209&gt;L209</formula>
    </cfRule>
    <cfRule type="expression" dxfId="149" priority="156" stopIfTrue="1">
      <formula>J209&lt;L209</formula>
    </cfRule>
  </conditionalFormatting>
  <conditionalFormatting sqref="J227 L227 V227 X227 J209 L209 V209 X209 J218 L218 V218 X218 J236 L236 V236 X236">
    <cfRule type="expression" dxfId="148" priority="157" stopIfTrue="1">
      <formula>ISBLANK(J209)</formula>
    </cfRule>
  </conditionalFormatting>
  <conditionalFormatting sqref="M214">
    <cfRule type="expression" dxfId="147" priority="148" stopIfTrue="1">
      <formula>AND(ISNUMBER(P214),ISNUMBER(R214),P214&gt;R214)</formula>
    </cfRule>
  </conditionalFormatting>
  <conditionalFormatting sqref="N214">
    <cfRule type="expression" dxfId="146" priority="149" stopIfTrue="1">
      <formula>OR(P214&gt;R214,N214&amp;" win on away goals"=P213)</formula>
    </cfRule>
    <cfRule type="expression" dxfId="145" priority="150" stopIfTrue="1">
      <formula>OR(P214&lt;R214,T214&amp;" win on away goals"=P213)</formula>
    </cfRule>
  </conditionalFormatting>
  <conditionalFormatting sqref="T214">
    <cfRule type="expression" dxfId="144" priority="151" stopIfTrue="1">
      <formula>OR(P214&gt;R214,N214&amp;" win on away goals"=P213)</formula>
    </cfRule>
    <cfRule type="expression" dxfId="143" priority="152" stopIfTrue="1">
      <formula>OR(P214&lt;R214,T214&amp;" win on away goals"=P213)</formula>
    </cfRule>
  </conditionalFormatting>
  <conditionalFormatting sqref="M223">
    <cfRule type="expression" dxfId="142" priority="143" stopIfTrue="1">
      <formula>AND(ISNUMBER(P223),ISNUMBER(R223),P223&gt;R223)</formula>
    </cfRule>
  </conditionalFormatting>
  <conditionalFormatting sqref="N223">
    <cfRule type="expression" dxfId="141" priority="144" stopIfTrue="1">
      <formula>OR(P223&gt;R223,N223&amp;" win on away goals"=P222)</formula>
    </cfRule>
    <cfRule type="expression" dxfId="140" priority="145" stopIfTrue="1">
      <formula>OR(P223&lt;R223,T223&amp;" win on away goals"=P222)</formula>
    </cfRule>
  </conditionalFormatting>
  <conditionalFormatting sqref="T223">
    <cfRule type="expression" dxfId="139" priority="146" stopIfTrue="1">
      <formula>OR(P223&gt;R223,N223&amp;" win on away goals"=P222)</formula>
    </cfRule>
    <cfRule type="expression" dxfId="138" priority="147" stopIfTrue="1">
      <formula>OR(P223&lt;R223,T223&amp;" win on away goals"=P222)</formula>
    </cfRule>
  </conditionalFormatting>
  <conditionalFormatting sqref="M232">
    <cfRule type="expression" dxfId="137" priority="138" stopIfTrue="1">
      <formula>AND(ISNUMBER(P232),ISNUMBER(R232),P232&gt;R232)</formula>
    </cfRule>
  </conditionalFormatting>
  <conditionalFormatting sqref="N232">
    <cfRule type="expression" dxfId="136" priority="139" stopIfTrue="1">
      <formula>OR(P232&gt;R232,N232&amp;" win on away goals"=P231)</formula>
    </cfRule>
    <cfRule type="expression" dxfId="135" priority="140" stopIfTrue="1">
      <formula>OR(P232&lt;R232,T232&amp;" win on away goals"=P231)</formula>
    </cfRule>
  </conditionalFormatting>
  <conditionalFormatting sqref="T232">
    <cfRule type="expression" dxfId="134" priority="141" stopIfTrue="1">
      <formula>OR(P232&gt;R232,N232&amp;" win on away goals"=P231)</formula>
    </cfRule>
    <cfRule type="expression" dxfId="133" priority="142" stopIfTrue="1">
      <formula>OR(P232&lt;R232,T232&amp;" win on away goals"=P231)</formula>
    </cfRule>
  </conditionalFormatting>
  <conditionalFormatting sqref="M241">
    <cfRule type="expression" dxfId="132" priority="133" stopIfTrue="1">
      <formula>AND(ISNUMBER(P241),ISNUMBER(R241),P241&gt;R241)</formula>
    </cfRule>
  </conditionalFormatting>
  <conditionalFormatting sqref="N241">
    <cfRule type="expression" dxfId="131" priority="134" stopIfTrue="1">
      <formula>OR(P241&gt;R241,N241&amp;" win on away goals"=P240)</formula>
    </cfRule>
    <cfRule type="expression" dxfId="130" priority="135" stopIfTrue="1">
      <formula>OR(P241&lt;R241,T241&amp;" win on away goals"=P240)</formula>
    </cfRule>
  </conditionalFormatting>
  <conditionalFormatting sqref="T241">
    <cfRule type="expression" dxfId="129" priority="136" stopIfTrue="1">
      <formula>OR(P241&gt;R241,N241&amp;" win on away goals"=P240)</formula>
    </cfRule>
    <cfRule type="expression" dxfId="128" priority="137" stopIfTrue="1">
      <formula>OR(P241&lt;R241,T241&amp;" win on away goals"=P240)</formula>
    </cfRule>
  </conditionalFormatting>
  <conditionalFormatting sqref="V210">
    <cfRule type="expression" dxfId="127" priority="130">
      <formula>V210&lt;&gt;""</formula>
    </cfRule>
    <cfRule type="expression" dxfId="126" priority="132">
      <formula>AND(J209=X209,L209=V209,V209&lt;&gt;"",X209&lt;&gt;"")</formula>
    </cfRule>
  </conditionalFormatting>
  <conditionalFormatting sqref="X210">
    <cfRule type="expression" dxfId="125" priority="129">
      <formula>X210&lt;&gt;""</formula>
    </cfRule>
    <cfRule type="expression" dxfId="124" priority="131">
      <formula>AND(J209=X209,L209=V209,V209&lt;&gt;"",X209&lt;&gt;"")</formula>
    </cfRule>
  </conditionalFormatting>
  <conditionalFormatting sqref="U210">
    <cfRule type="expression" dxfId="123" priority="128">
      <formula>AND(V209&lt;&gt;"",X209&lt;&gt;"",J209=X209,L209=V209)</formula>
    </cfRule>
  </conditionalFormatting>
  <conditionalFormatting sqref="W210">
    <cfRule type="expression" dxfId="122" priority="127">
      <formula>AND(V209&lt;&gt;"",X209&lt;&gt;"",J209=X209,L209=V209)</formula>
    </cfRule>
  </conditionalFormatting>
  <conditionalFormatting sqref="V219">
    <cfRule type="expression" dxfId="121" priority="124">
      <formula>V219&lt;&gt;""</formula>
    </cfRule>
    <cfRule type="expression" dxfId="120" priority="126">
      <formula>AND(J218=X218,L218=V218,V218&lt;&gt;"",X218&lt;&gt;"")</formula>
    </cfRule>
  </conditionalFormatting>
  <conditionalFormatting sqref="X219">
    <cfRule type="expression" dxfId="119" priority="123">
      <formula>X219&lt;&gt;""</formula>
    </cfRule>
    <cfRule type="expression" dxfId="118" priority="125">
      <formula>AND(J218=X218,L218=V218,V218&lt;&gt;"",X218&lt;&gt;"")</formula>
    </cfRule>
  </conditionalFormatting>
  <conditionalFormatting sqref="U219">
    <cfRule type="expression" dxfId="117" priority="122">
      <formula>AND(V218&lt;&gt;"",X218&lt;&gt;"",J218=X218,L218=V218)</formula>
    </cfRule>
  </conditionalFormatting>
  <conditionalFormatting sqref="W219">
    <cfRule type="expression" dxfId="116" priority="121">
      <formula>AND(V218&lt;&gt;"",X218&lt;&gt;"",J218=X218,L218=V218)</formula>
    </cfRule>
  </conditionalFormatting>
  <conditionalFormatting sqref="V228">
    <cfRule type="expression" dxfId="115" priority="118">
      <formula>V228&lt;&gt;""</formula>
    </cfRule>
    <cfRule type="expression" dxfId="114" priority="120">
      <formula>AND(J227=X227,L227=V227,V227&lt;&gt;"",X227&lt;&gt;"")</formula>
    </cfRule>
  </conditionalFormatting>
  <conditionalFormatting sqref="X228">
    <cfRule type="expression" dxfId="113" priority="117">
      <formula>X228&lt;&gt;""</formula>
    </cfRule>
    <cfRule type="expression" dxfId="112" priority="119">
      <formula>AND(J227=X227,L227=V227,V227&lt;&gt;"",X227&lt;&gt;"")</formula>
    </cfRule>
  </conditionalFormatting>
  <conditionalFormatting sqref="U228">
    <cfRule type="expression" dxfId="111" priority="116">
      <formula>AND(V227&lt;&gt;"",X227&lt;&gt;"",J227=X227,L227=V227)</formula>
    </cfRule>
  </conditionalFormatting>
  <conditionalFormatting sqref="W228">
    <cfRule type="expression" dxfId="110" priority="115">
      <formula>AND(V227&lt;&gt;"",X227&lt;&gt;"",J227=X227,L227=V227)</formula>
    </cfRule>
  </conditionalFormatting>
  <conditionalFormatting sqref="V237">
    <cfRule type="expression" dxfId="109" priority="112">
      <formula>V237&lt;&gt;""</formula>
    </cfRule>
    <cfRule type="expression" dxfId="108" priority="114">
      <formula>AND(J236=X236,L236=V236,V236&lt;&gt;"",X236&lt;&gt;"")</formula>
    </cfRule>
  </conditionalFormatting>
  <conditionalFormatting sqref="X237">
    <cfRule type="expression" dxfId="107" priority="111">
      <formula>X237&lt;&gt;""</formula>
    </cfRule>
    <cfRule type="expression" dxfId="106" priority="113">
      <formula>AND(J236=X236,L236=V236,V236&lt;&gt;"",X236&lt;&gt;"")</formula>
    </cfRule>
  </conditionalFormatting>
  <conditionalFormatting sqref="U237">
    <cfRule type="expression" dxfId="105" priority="110">
      <formula>AND(V236&lt;&gt;"",X236&lt;&gt;"",J236=X236,L236=V236)</formula>
    </cfRule>
  </conditionalFormatting>
  <conditionalFormatting sqref="W237">
    <cfRule type="expression" dxfId="104" priority="109">
      <formula>AND(V236&lt;&gt;"",X236&lt;&gt;"",J236=X236,L236=V236)</formula>
    </cfRule>
  </conditionalFormatting>
  <conditionalFormatting sqref="V211">
    <cfRule type="expression" dxfId="103" priority="106">
      <formula>V211&lt;&gt;""</formula>
    </cfRule>
    <cfRule type="expression" dxfId="102" priority="108">
      <formula>AND(V210=X210,V210=0,X210=0,V210&lt;&gt;"",X210&lt;&gt;"")</formula>
    </cfRule>
  </conditionalFormatting>
  <conditionalFormatting sqref="X211">
    <cfRule type="expression" dxfId="101" priority="105">
      <formula>X211&lt;&gt;""</formula>
    </cfRule>
    <cfRule type="expression" dxfId="100" priority="107">
      <formula>AND(V210=X210,V210=0,X210=0,V210&lt;&gt;"",X210&lt;&gt;"")</formula>
    </cfRule>
  </conditionalFormatting>
  <conditionalFormatting sqref="U211">
    <cfRule type="expression" dxfId="99" priority="104">
      <formula>AND(V210&lt;&gt;"",X210&lt;&gt;"",J210=X210,L210=V210)</formula>
    </cfRule>
  </conditionalFormatting>
  <conditionalFormatting sqref="W211">
    <cfRule type="expression" dxfId="98" priority="103">
      <formula>AND(V210&lt;&gt;"",X210&lt;&gt;"",J210=X210,L210=V210)</formula>
    </cfRule>
  </conditionalFormatting>
  <conditionalFormatting sqref="V220">
    <cfRule type="expression" dxfId="97" priority="100">
      <formula>V220&lt;&gt;""</formula>
    </cfRule>
    <cfRule type="expression" dxfId="96" priority="102">
      <formula>AND(V219=X219,V219=0,X219=0,V219&lt;&gt;"",X219&lt;&gt;"")</formula>
    </cfRule>
  </conditionalFormatting>
  <conditionalFormatting sqref="X220">
    <cfRule type="expression" dxfId="95" priority="99">
      <formula>X220&lt;&gt;""</formula>
    </cfRule>
    <cfRule type="expression" dxfId="94" priority="101">
      <formula>AND(V219=X219,V219=0,X219=0,V219&lt;&gt;"",X219&lt;&gt;"")</formula>
    </cfRule>
  </conditionalFormatting>
  <conditionalFormatting sqref="U220">
    <cfRule type="expression" dxfId="93" priority="98">
      <formula>AND(V219&lt;&gt;"",X219&lt;&gt;"",J219=X219,L219=V219)</formula>
    </cfRule>
  </conditionalFormatting>
  <conditionalFormatting sqref="W220">
    <cfRule type="expression" dxfId="92" priority="97">
      <formula>AND(V219&lt;&gt;"",X219&lt;&gt;"",J219=X219,L219=V219)</formula>
    </cfRule>
  </conditionalFormatting>
  <conditionalFormatting sqref="V229">
    <cfRule type="expression" dxfId="91" priority="94">
      <formula>V229&lt;&gt;""</formula>
    </cfRule>
    <cfRule type="expression" dxfId="90" priority="96">
      <formula>AND(V228=X228,V228=0,X228=0,V228&lt;&gt;"",X228&lt;&gt;"")</formula>
    </cfRule>
  </conditionalFormatting>
  <conditionalFormatting sqref="X229">
    <cfRule type="expression" dxfId="89" priority="93">
      <formula>X229&lt;&gt;""</formula>
    </cfRule>
    <cfRule type="expression" dxfId="88" priority="95">
      <formula>AND(V228=X228,V228=0,X228=0,V228&lt;&gt;"",X228&lt;&gt;"")</formula>
    </cfRule>
  </conditionalFormatting>
  <conditionalFormatting sqref="U229">
    <cfRule type="expression" dxfId="87" priority="92">
      <formula>AND(V228&lt;&gt;"",X228&lt;&gt;"",J228=X228,L228=V228)</formula>
    </cfRule>
  </conditionalFormatting>
  <conditionalFormatting sqref="W229">
    <cfRule type="expression" dxfId="86" priority="91">
      <formula>AND(V228&lt;&gt;"",X228&lt;&gt;"",J228=X228,L228=V228)</formula>
    </cfRule>
  </conditionalFormatting>
  <conditionalFormatting sqref="V238">
    <cfRule type="expression" dxfId="85" priority="88">
      <formula>V238&lt;&gt;""</formula>
    </cfRule>
    <cfRule type="expression" dxfId="84" priority="90">
      <formula>AND(V237=X237,V237=0,X237=0,V237&lt;&gt;"",X237&lt;&gt;"")</formula>
    </cfRule>
  </conditionalFormatting>
  <conditionalFormatting sqref="X238">
    <cfRule type="expression" dxfId="83" priority="87">
      <formula>X238&lt;&gt;""</formula>
    </cfRule>
    <cfRule type="expression" dxfId="82" priority="89">
      <formula>AND(V237=X237,V237=0,X237=0,V237&lt;&gt;"",X237&lt;&gt;"")</formula>
    </cfRule>
  </conditionalFormatting>
  <conditionalFormatting sqref="U238">
    <cfRule type="expression" dxfId="81" priority="86">
      <formula>AND(V237&lt;&gt;"",X237&lt;&gt;"",J237=X237,L237=V237)</formula>
    </cfRule>
  </conditionalFormatting>
  <conditionalFormatting sqref="W238">
    <cfRule type="expression" dxfId="80" priority="85">
      <formula>AND(V237&lt;&gt;"",X237&lt;&gt;"",J237=X237,L237=V237)</formula>
    </cfRule>
  </conditionalFormatting>
  <conditionalFormatting sqref="N292 Z292 N283 Z283">
    <cfRule type="expression" dxfId="79" priority="80" stopIfTrue="1">
      <formula>J283&gt;L283</formula>
    </cfRule>
    <cfRule type="expression" dxfId="78" priority="81" stopIfTrue="1">
      <formula>J283&lt;L283</formula>
    </cfRule>
  </conditionalFormatting>
  <conditionalFormatting sqref="H292 T292 H283 T283">
    <cfRule type="expression" dxfId="77" priority="82" stopIfTrue="1">
      <formula>J283&gt;L283</formula>
    </cfRule>
    <cfRule type="expression" dxfId="76" priority="83" stopIfTrue="1">
      <formula>J283&lt;L283</formula>
    </cfRule>
  </conditionalFormatting>
  <conditionalFormatting sqref="J283 L283 V283 X283 V292 X292 J292 L292">
    <cfRule type="expression" dxfId="75" priority="84" stopIfTrue="1">
      <formula>ISBLANK(J283)</formula>
    </cfRule>
  </conditionalFormatting>
  <conditionalFormatting sqref="M288">
    <cfRule type="expression" dxfId="74" priority="75" stopIfTrue="1">
      <formula>AND(ISNUMBER(P288),ISNUMBER(R288),P288&gt;R288)</formula>
    </cfRule>
  </conditionalFormatting>
  <conditionalFormatting sqref="N288">
    <cfRule type="expression" dxfId="73" priority="76" stopIfTrue="1">
      <formula>OR(P288&gt;R288,N288&amp;" win on away goals"=P287)</formula>
    </cfRule>
    <cfRule type="expression" dxfId="72" priority="77" stopIfTrue="1">
      <formula>OR(P288&lt;R288,T288&amp;" win on away goals"=P287)</formula>
    </cfRule>
  </conditionalFormatting>
  <conditionalFormatting sqref="T288">
    <cfRule type="expression" dxfId="71" priority="78" stopIfTrue="1">
      <formula>OR(P288&gt;R288,N288&amp;" win on away goals"=P287)</formula>
    </cfRule>
    <cfRule type="expression" dxfId="70" priority="79" stopIfTrue="1">
      <formula>OR(P288&lt;R288,T288&amp;" win on away goals"=P287)</formula>
    </cfRule>
  </conditionalFormatting>
  <conditionalFormatting sqref="M297">
    <cfRule type="expression" dxfId="69" priority="70" stopIfTrue="1">
      <formula>AND(ISNUMBER(P297),ISNUMBER(R297),P297&gt;R297)</formula>
    </cfRule>
  </conditionalFormatting>
  <conditionalFormatting sqref="N297">
    <cfRule type="expression" dxfId="68" priority="71" stopIfTrue="1">
      <formula>OR(P297&gt;R297,N297&amp;" win on away goals"=P296)</formula>
    </cfRule>
    <cfRule type="expression" dxfId="67" priority="72" stopIfTrue="1">
      <formula>OR(P297&lt;R297,T297&amp;" win on away goals"=P296)</formula>
    </cfRule>
  </conditionalFormatting>
  <conditionalFormatting sqref="T297">
    <cfRule type="expression" dxfId="66" priority="73" stopIfTrue="1">
      <formula>OR(P297&gt;R297,N297&amp;" win on away goals"=P296)</formula>
    </cfRule>
    <cfRule type="expression" dxfId="65" priority="74" stopIfTrue="1">
      <formula>OR(P297&lt;R297,T297&amp;" win on away goals"=P296)</formula>
    </cfRule>
  </conditionalFormatting>
  <conditionalFormatting sqref="V284">
    <cfRule type="expression" dxfId="64" priority="67">
      <formula>V284&lt;&gt;""</formula>
    </cfRule>
    <cfRule type="expression" dxfId="63" priority="69">
      <formula>AND(J283=X283,L283=V283,V283&lt;&gt;"",X283&lt;&gt;"")</formula>
    </cfRule>
  </conditionalFormatting>
  <conditionalFormatting sqref="X284">
    <cfRule type="expression" dxfId="62" priority="66">
      <formula>X284&lt;&gt;""</formula>
    </cfRule>
    <cfRule type="expression" dxfId="61" priority="68">
      <formula>AND(J283=X283,L283=V283,V283&lt;&gt;"",X283&lt;&gt;"")</formula>
    </cfRule>
  </conditionalFormatting>
  <conditionalFormatting sqref="U284">
    <cfRule type="expression" dxfId="60" priority="65">
      <formula>AND(V283&lt;&gt;"",X283&lt;&gt;"",J283=X283,L283=V283)</formula>
    </cfRule>
  </conditionalFormatting>
  <conditionalFormatting sqref="W284">
    <cfRule type="expression" dxfId="59" priority="64">
      <formula>AND(V283&lt;&gt;"",X283&lt;&gt;"",J283=X283,L283=V283)</formula>
    </cfRule>
  </conditionalFormatting>
  <conditionalFormatting sqref="V293">
    <cfRule type="expression" dxfId="58" priority="61">
      <formula>V293&lt;&gt;""</formula>
    </cfRule>
    <cfRule type="expression" dxfId="57" priority="63">
      <formula>AND(J292=X292,L292=V292,V292&lt;&gt;"",X292&lt;&gt;"")</formula>
    </cfRule>
  </conditionalFormatting>
  <conditionalFormatting sqref="X293">
    <cfRule type="expression" dxfId="56" priority="60">
      <formula>X293&lt;&gt;""</formula>
    </cfRule>
    <cfRule type="expression" dxfId="55" priority="62">
      <formula>AND(J292=X292,L292=V292,V292&lt;&gt;"",X292&lt;&gt;"")</formula>
    </cfRule>
  </conditionalFormatting>
  <conditionalFormatting sqref="U293">
    <cfRule type="expression" dxfId="54" priority="59">
      <formula>AND(V292&lt;&gt;"",X292&lt;&gt;"",J292=X292,L292=V292)</formula>
    </cfRule>
  </conditionalFormatting>
  <conditionalFormatting sqref="W293">
    <cfRule type="expression" dxfId="53" priority="58">
      <formula>AND(V292&lt;&gt;"",X292&lt;&gt;"",J292=X292,L292=V292)</formula>
    </cfRule>
  </conditionalFormatting>
  <conditionalFormatting sqref="V285">
    <cfRule type="expression" dxfId="52" priority="55">
      <formula>V285&lt;&gt;""</formula>
    </cfRule>
    <cfRule type="expression" dxfId="51" priority="57">
      <formula>AND(V284=X284,V284=0,X284=0,V284&lt;&gt;"",X284&lt;&gt;"")</formula>
    </cfRule>
  </conditionalFormatting>
  <conditionalFormatting sqref="X285">
    <cfRule type="expression" dxfId="50" priority="54">
      <formula>X285&lt;&gt;""</formula>
    </cfRule>
    <cfRule type="expression" dxfId="49" priority="56">
      <formula>AND(V284=X284,V284=0,X284=0,V284&lt;&gt;"",X284&lt;&gt;"")</formula>
    </cfRule>
  </conditionalFormatting>
  <conditionalFormatting sqref="U285">
    <cfRule type="expression" dxfId="48" priority="53">
      <formula>AND(V284&lt;&gt;"",X284&lt;&gt;"",J284=X284,L284=V284)</formula>
    </cfRule>
  </conditionalFormatting>
  <conditionalFormatting sqref="W285">
    <cfRule type="expression" dxfId="47" priority="52">
      <formula>AND(V284&lt;&gt;"",X284&lt;&gt;"",J284=X284,L284=V284)</formula>
    </cfRule>
  </conditionalFormatting>
  <conditionalFormatting sqref="V294">
    <cfRule type="expression" dxfId="46" priority="49">
      <formula>V294&lt;&gt;""</formula>
    </cfRule>
    <cfRule type="expression" dxfId="45" priority="51">
      <formula>AND(V293=X293,V293=0,X293=0,V293&lt;&gt;"",X293&lt;&gt;"")</formula>
    </cfRule>
  </conditionalFormatting>
  <conditionalFormatting sqref="X294">
    <cfRule type="expression" dxfId="44" priority="48">
      <formula>X294&lt;&gt;""</formula>
    </cfRule>
    <cfRule type="expression" dxfId="43" priority="50">
      <formula>AND(V293=X293,V293=0,X293=0,V293&lt;&gt;"",X293&lt;&gt;"")</formula>
    </cfRule>
  </conditionalFormatting>
  <conditionalFormatting sqref="U294">
    <cfRule type="expression" dxfId="42" priority="47">
      <formula>AND(V293&lt;&gt;"",X293&lt;&gt;"",J293=X293,L293=V293)</formula>
    </cfRule>
  </conditionalFormatting>
  <conditionalFormatting sqref="W294">
    <cfRule type="expression" dxfId="41" priority="46">
      <formula>AND(V293&lt;&gt;"",X293&lt;&gt;"",J293=X293,L293=V293)</formula>
    </cfRule>
  </conditionalFormatting>
  <conditionalFormatting sqref="N312 Z312 N303 Z303">
    <cfRule type="expression" dxfId="40" priority="41" stopIfTrue="1">
      <formula>J303&gt;L303</formula>
    </cfRule>
    <cfRule type="expression" dxfId="39" priority="42" stopIfTrue="1">
      <formula>J303&lt;L303</formula>
    </cfRule>
  </conditionalFormatting>
  <conditionalFormatting sqref="H312 T312 H303 T303">
    <cfRule type="expression" dxfId="38" priority="43" stopIfTrue="1">
      <formula>J303&gt;L303</formula>
    </cfRule>
    <cfRule type="expression" dxfId="37" priority="44" stopIfTrue="1">
      <formula>J303&lt;L303</formula>
    </cfRule>
  </conditionalFormatting>
  <conditionalFormatting sqref="J303 L303 V303 X303 V312 X312 J312 L312">
    <cfRule type="expression" dxfId="36" priority="45" stopIfTrue="1">
      <formula>ISBLANK(J303)</formula>
    </cfRule>
  </conditionalFormatting>
  <conditionalFormatting sqref="M308">
    <cfRule type="expression" dxfId="35" priority="36" stopIfTrue="1">
      <formula>AND(ISNUMBER(P308),ISNUMBER(R308),P308&gt;R308)</formula>
    </cfRule>
  </conditionalFormatting>
  <conditionalFormatting sqref="N308">
    <cfRule type="expression" dxfId="34" priority="37" stopIfTrue="1">
      <formula>OR(P308&gt;R308,N308&amp;" win on away goals"=P307)</formula>
    </cfRule>
    <cfRule type="expression" dxfId="33" priority="38" stopIfTrue="1">
      <formula>OR(P308&lt;R308,T308&amp;" win on away goals"=P307)</formula>
    </cfRule>
  </conditionalFormatting>
  <conditionalFormatting sqref="T308">
    <cfRule type="expression" dxfId="32" priority="39" stopIfTrue="1">
      <formula>OR(P308&gt;R308,N308&amp;" win on away goals"=P307)</formula>
    </cfRule>
    <cfRule type="expression" dxfId="31" priority="40" stopIfTrue="1">
      <formula>OR(P308&lt;R308,T308&amp;" win on away goals"=P307)</formula>
    </cfRule>
  </conditionalFormatting>
  <conditionalFormatting sqref="M317">
    <cfRule type="expression" dxfId="30" priority="31" stopIfTrue="1">
      <formula>AND(ISNUMBER(P317),ISNUMBER(R317),P317&gt;R317)</formula>
    </cfRule>
  </conditionalFormatting>
  <conditionalFormatting sqref="N317">
    <cfRule type="expression" dxfId="29" priority="32" stopIfTrue="1">
      <formula>OR(P317&gt;R317,N317&amp;" win on away goals"=P316)</formula>
    </cfRule>
    <cfRule type="expression" dxfId="28" priority="33" stopIfTrue="1">
      <formula>OR(P317&lt;R317,T317&amp;" win on away goals"=P316)</formula>
    </cfRule>
  </conditionalFormatting>
  <conditionalFormatting sqref="T317">
    <cfRule type="expression" dxfId="27" priority="34" stopIfTrue="1">
      <formula>OR(P317&gt;R317,N317&amp;" win on away goals"=P316)</formula>
    </cfRule>
    <cfRule type="expression" dxfId="26" priority="35" stopIfTrue="1">
      <formula>OR(P317&lt;R317,T317&amp;" win on away goals"=P316)</formula>
    </cfRule>
  </conditionalFormatting>
  <conditionalFormatting sqref="V304">
    <cfRule type="expression" dxfId="25" priority="28">
      <formula>V304&lt;&gt;""</formula>
    </cfRule>
    <cfRule type="expression" dxfId="24" priority="30">
      <formula>AND(J303=X303,L303=V303,V303&lt;&gt;"",X303&lt;&gt;"")</formula>
    </cfRule>
  </conditionalFormatting>
  <conditionalFormatting sqref="X304">
    <cfRule type="expression" dxfId="23" priority="27">
      <formula>X304&lt;&gt;""</formula>
    </cfRule>
    <cfRule type="expression" dxfId="22" priority="29">
      <formula>AND(J303=X303,L303=V303,V303&lt;&gt;"",X303&lt;&gt;"")</formula>
    </cfRule>
  </conditionalFormatting>
  <conditionalFormatting sqref="U304">
    <cfRule type="expression" dxfId="21" priority="26">
      <formula>AND(V303&lt;&gt;"",X303&lt;&gt;"",J303=X303,L303=V303)</formula>
    </cfRule>
  </conditionalFormatting>
  <conditionalFormatting sqref="W304">
    <cfRule type="expression" dxfId="20" priority="25">
      <formula>AND(V303&lt;&gt;"",X303&lt;&gt;"",J303=X303,L303=V303)</formula>
    </cfRule>
  </conditionalFormatting>
  <conditionalFormatting sqref="V313">
    <cfRule type="expression" dxfId="19" priority="22">
      <formula>V313&lt;&gt;""</formula>
    </cfRule>
    <cfRule type="expression" dxfId="18" priority="24">
      <formula>AND(J312=X312,L312=V312,V312&lt;&gt;"",X312&lt;&gt;"")</formula>
    </cfRule>
  </conditionalFormatting>
  <conditionalFormatting sqref="X313">
    <cfRule type="expression" dxfId="17" priority="21">
      <formula>X313&lt;&gt;""</formula>
    </cfRule>
    <cfRule type="expression" dxfId="16" priority="23">
      <formula>AND(J312=X312,L312=V312,V312&lt;&gt;"",X312&lt;&gt;"")</formula>
    </cfRule>
  </conditionalFormatting>
  <conditionalFormatting sqref="U313">
    <cfRule type="expression" dxfId="15" priority="20">
      <formula>AND(V312&lt;&gt;"",X312&lt;&gt;"",J312=X312,L312=V312)</formula>
    </cfRule>
  </conditionalFormatting>
  <conditionalFormatting sqref="W313">
    <cfRule type="expression" dxfId="14" priority="19">
      <formula>AND(V312&lt;&gt;"",X312&lt;&gt;"",J312=X312,L312=V312)</formula>
    </cfRule>
  </conditionalFormatting>
  <conditionalFormatting sqref="V305">
    <cfRule type="expression" dxfId="13" priority="16">
      <formula>V305&lt;&gt;""</formula>
    </cfRule>
    <cfRule type="expression" dxfId="12" priority="18">
      <formula>AND(V304=X304,V304=0,X304=0,V304&lt;&gt;"",X304&lt;&gt;"")</formula>
    </cfRule>
  </conditionalFormatting>
  <conditionalFormatting sqref="X305">
    <cfRule type="expression" dxfId="11" priority="15">
      <formula>X305&lt;&gt;""</formula>
    </cfRule>
    <cfRule type="expression" dxfId="10" priority="17">
      <formula>AND(V304=X304,V304=0,X304=0,V304&lt;&gt;"",X304&lt;&gt;"")</formula>
    </cfRule>
  </conditionalFormatting>
  <conditionalFormatting sqref="U305">
    <cfRule type="expression" dxfId="9" priority="14">
      <formula>AND(V304&lt;&gt;"",X304&lt;&gt;"",J304=X304,L304=V304)</formula>
    </cfRule>
  </conditionalFormatting>
  <conditionalFormatting sqref="W305">
    <cfRule type="expression" dxfId="8" priority="13">
      <formula>AND(V304&lt;&gt;"",X304&lt;&gt;"",J304=X304,L304=V304)</formula>
    </cfRule>
  </conditionalFormatting>
  <conditionalFormatting sqref="V314">
    <cfRule type="expression" dxfId="7" priority="10">
      <formula>V314&lt;&gt;""</formula>
    </cfRule>
    <cfRule type="expression" dxfId="6" priority="12">
      <formula>AND(V313=X313,V313=0,X313=0,V313&lt;&gt;"",X313&lt;&gt;"")</formula>
    </cfRule>
  </conditionalFormatting>
  <conditionalFormatting sqref="X314">
    <cfRule type="expression" dxfId="5" priority="9">
      <formula>X314&lt;&gt;""</formula>
    </cfRule>
    <cfRule type="expression" dxfId="4" priority="11">
      <formula>AND(V313=X313,V313=0,X313=0,V313&lt;&gt;"",X313&lt;&gt;"")</formula>
    </cfRule>
  </conditionalFormatting>
  <conditionalFormatting sqref="U314">
    <cfRule type="expression" dxfId="3" priority="8">
      <formula>AND(V313&lt;&gt;"",X313&lt;&gt;"",J313=X313,L313=V313)</formula>
    </cfRule>
  </conditionalFormatting>
  <conditionalFormatting sqref="W314">
    <cfRule type="expression" dxfId="2" priority="7">
      <formula>AND(V313&lt;&gt;"",X313&lt;&gt;"",J313=X313,L313=V313)</formula>
    </cfRule>
  </conditionalFormatting>
  <conditionalFormatting sqref="H246:H249 N246:N249 T247:T248 Z247:Z248">
    <cfRule type="cellIs" dxfId="1" priority="6" stopIfTrue="1" operator="notEqual">
      <formula>""</formula>
    </cfRule>
  </conditionalFormatting>
  <conditionalFormatting sqref="H157:H160 N157:N160">
    <cfRule type="cellIs" dxfId="0" priority="5" stopIfTrue="1" operator="notEqual">
      <formula>""</formula>
    </cfRule>
  </conditionalFormatting>
  <dataValidations disablePrompts="1" count="3">
    <dataValidation type="list" allowBlank="1" showInputMessage="1" showErrorMessage="1" sqref="H153:H160 N153:N160">
      <formula1>WinRound16</formula1>
    </dataValidation>
    <dataValidation type="list" allowBlank="1" showInputMessage="1" showErrorMessage="1" sqref="H246:H249 N246:N249">
      <formula1>WinQuart</formula1>
    </dataValidation>
    <dataValidation type="list" allowBlank="1" showInputMessage="1" showErrorMessage="1" sqref="T247:T248 Z247:Z248">
      <formula1>SemiTeam</formula1>
    </dataValidation>
  </dataValidations>
  <printOptions horizontalCentered="1" verticalCentered="1"/>
  <pageMargins left="0.39370078740157483" right="0.31496062992125984" top="0.43307086614173229" bottom="0.23622047244094491" header="0.23622047244094491" footer="0.19685039370078741"/>
  <pageSetup scale="31" orientation="portrait" horizontalDpi="300" verticalDpi="300"/>
  <headerFooter alignWithMargins="0">
    <oddHeader>&amp;C&amp;"Arial,Bold"&amp;16UEFA CHAMPIONS LEAGUE 2016/2017 KNOCK OUT PHASE</oddHeader>
    <oddFooter>&amp;C
copyright (c) 2016 exceltemplate.net</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47"/>
  <sheetViews>
    <sheetView showGridLines="0" workbookViewId="0">
      <selection activeCell="Q16" sqref="Q16"/>
    </sheetView>
  </sheetViews>
  <sheetFormatPr baseColWidth="10" defaultColWidth="3.6640625" defaultRowHeight="13" x14ac:dyDescent="0"/>
  <cols>
    <col min="1" max="1" width="2.6640625" style="209" bestFit="1" customWidth="1"/>
    <col min="2" max="2" width="20.5" style="209" bestFit="1" customWidth="1"/>
    <col min="3" max="7" width="2.6640625" style="209" bestFit="1" customWidth="1"/>
    <col min="8" max="8" width="3.5" style="209" bestFit="1" customWidth="1"/>
    <col min="9" max="14" width="2.6640625" style="209" bestFit="1" customWidth="1"/>
    <col min="15" max="15" width="3.5" style="209" bestFit="1" customWidth="1"/>
    <col min="16" max="19" width="2.6640625" style="209" bestFit="1" customWidth="1"/>
    <col min="20" max="21" width="3.83203125" style="209" bestFit="1" customWidth="1"/>
    <col min="22" max="22" width="3.5" style="209" bestFit="1" customWidth="1"/>
    <col min="23" max="23" width="3.83203125" style="209" bestFit="1" customWidth="1"/>
    <col min="24" max="24" width="8.1640625" style="210" bestFit="1" customWidth="1"/>
    <col min="25" max="28" width="2.6640625" style="210" bestFit="1" customWidth="1"/>
    <col min="29" max="29" width="2.6640625" style="209" bestFit="1" customWidth="1"/>
    <col min="30" max="30" width="20.5" style="209" customWidth="1"/>
    <col min="31" max="31" width="3.83203125" style="209" bestFit="1" customWidth="1"/>
    <col min="32" max="32" width="12.33203125" style="209" bestFit="1" customWidth="1"/>
    <col min="33" max="33" width="2.6640625" style="210" bestFit="1" customWidth="1"/>
    <col min="34" max="34" width="4.83203125" style="210" bestFit="1" customWidth="1"/>
    <col min="35" max="37" width="2.6640625" style="210" bestFit="1" customWidth="1"/>
    <col min="38" max="38" width="3.33203125" style="210" bestFit="1" customWidth="1"/>
    <col min="39" max="40" width="2.6640625" style="210" bestFit="1" customWidth="1"/>
    <col min="41" max="41" width="4.5" style="210" customWidth="1"/>
    <col min="42" max="44" width="2.6640625" style="210" bestFit="1" customWidth="1"/>
    <col min="45" max="45" width="3.5" style="210" bestFit="1" customWidth="1"/>
    <col min="46" max="47" width="2.6640625" style="210" bestFit="1" customWidth="1"/>
    <col min="48" max="48" width="5.1640625" style="210" bestFit="1" customWidth="1"/>
    <col min="49" max="52" width="2.6640625" style="210" bestFit="1" customWidth="1"/>
    <col min="53" max="53" width="3.5" style="210" bestFit="1" customWidth="1"/>
    <col min="54" max="54" width="2.6640625" style="209" bestFit="1" customWidth="1"/>
    <col min="55" max="55" width="6.6640625" style="209" bestFit="1" customWidth="1"/>
    <col min="56" max="56" width="8.1640625" style="209" bestFit="1" customWidth="1"/>
    <col min="57" max="62" width="2.6640625" style="209" bestFit="1" customWidth="1"/>
    <col min="63" max="63" width="12.33203125" style="209" bestFit="1" customWidth="1"/>
    <col min="64" max="65" width="2.33203125" style="209" bestFit="1" customWidth="1"/>
    <col min="66" max="66" width="12.33203125" style="209" bestFit="1" customWidth="1"/>
    <col min="67" max="67" width="2.6640625" style="209" bestFit="1" customWidth="1"/>
    <col min="68" max="68" width="12.33203125" style="209" bestFit="1" customWidth="1"/>
    <col min="69" max="69" width="3.83203125" style="209" bestFit="1" customWidth="1"/>
    <col min="70" max="70" width="12" style="209" bestFit="1" customWidth="1"/>
    <col min="71" max="71" width="2.6640625" style="209" bestFit="1" customWidth="1"/>
    <col min="72" max="72" width="5" style="209" bestFit="1" customWidth="1"/>
    <col min="73" max="75" width="2.6640625" style="209" bestFit="1" customWidth="1"/>
    <col min="76" max="76" width="3.33203125" style="209" bestFit="1" customWidth="1"/>
    <col min="77" max="77" width="2.33203125" style="209" bestFit="1" customWidth="1"/>
    <col min="78" max="78" width="2.6640625" style="209" bestFit="1" customWidth="1"/>
    <col min="79" max="79" width="5" style="209" bestFit="1" customWidth="1"/>
    <col min="80" max="82" width="2.6640625" style="209" bestFit="1" customWidth="1"/>
    <col min="83" max="83" width="3.5" style="209" bestFit="1" customWidth="1"/>
    <col min="84" max="84" width="2.33203125" style="209" bestFit="1" customWidth="1"/>
    <col min="85" max="85" width="2.6640625" style="209" bestFit="1" customWidth="1"/>
    <col min="86" max="86" width="5.1640625" style="209" bestFit="1" customWidth="1"/>
    <col min="87" max="89" width="2.6640625" style="209" bestFit="1" customWidth="1"/>
    <col min="90" max="91" width="3.5" style="209" bestFit="1" customWidth="1"/>
    <col min="92" max="92" width="8.1640625" style="210" bestFit="1" customWidth="1"/>
    <col min="93" max="94" width="2.6640625" style="210" bestFit="1" customWidth="1"/>
    <col min="95" max="95" width="11.33203125" style="210" customWidth="1"/>
    <col min="96" max="96" width="2.6640625" style="210" bestFit="1" customWidth="1"/>
    <col min="97" max="97" width="6.6640625" style="210" bestFit="1" customWidth="1"/>
    <col min="98" max="100" width="2.6640625" style="210" bestFit="1" customWidth="1"/>
    <col min="101" max="101" width="12" style="209" bestFit="1" customWidth="1"/>
    <col min="102" max="103" width="2.33203125" style="209" bestFit="1" customWidth="1"/>
    <col min="104" max="104" width="12" style="209" bestFit="1" customWidth="1"/>
    <col min="105" max="105" width="2.33203125" style="210" bestFit="1" customWidth="1"/>
    <col min="106" max="106" width="12" style="209" bestFit="1" customWidth="1"/>
    <col min="107" max="107" width="2.6640625" style="209" bestFit="1" customWidth="1"/>
    <col min="108" max="108" width="20.5" style="209" bestFit="1" customWidth="1"/>
    <col min="109" max="109" width="2.6640625" style="209" bestFit="1" customWidth="1"/>
    <col min="110" max="110" width="12.33203125" style="209" bestFit="1" customWidth="1"/>
    <col min="111" max="111" width="2.6640625" style="209" bestFit="1" customWidth="1"/>
    <col min="112" max="112" width="20.5" style="209" bestFit="1" customWidth="1"/>
    <col min="113" max="113" width="3.83203125" style="209" bestFit="1" customWidth="1"/>
    <col min="114" max="116" width="2.6640625" style="209" customWidth="1"/>
    <col min="117" max="16384" width="3.6640625" style="209"/>
  </cols>
  <sheetData>
    <row r="1" spans="1:113">
      <c r="A1" s="208"/>
      <c r="B1" s="208"/>
      <c r="C1" s="208"/>
      <c r="D1" s="208"/>
      <c r="E1" s="208"/>
      <c r="F1" s="208"/>
      <c r="G1" s="208"/>
      <c r="H1" s="208"/>
      <c r="I1" s="208"/>
      <c r="J1" s="208"/>
      <c r="K1" s="208"/>
      <c r="L1" s="208"/>
      <c r="M1" s="208"/>
      <c r="N1" s="208"/>
      <c r="O1" s="208"/>
      <c r="Q1" s="208"/>
      <c r="R1" s="208"/>
      <c r="S1" s="208"/>
      <c r="T1" s="208"/>
      <c r="U1" s="208"/>
      <c r="V1" s="208"/>
      <c r="BE1" s="208"/>
      <c r="BF1" s="208"/>
      <c r="BG1" s="211"/>
      <c r="BQ1" s="208"/>
    </row>
    <row r="2" spans="1:113">
      <c r="A2" s="208"/>
      <c r="B2" s="208"/>
      <c r="C2" s="208"/>
      <c r="D2" s="208"/>
      <c r="E2" s="208"/>
      <c r="F2" s="208"/>
      <c r="G2" s="208"/>
      <c r="H2" s="208"/>
      <c r="I2" s="208"/>
      <c r="J2" s="208"/>
      <c r="K2" s="208"/>
      <c r="L2" s="208"/>
      <c r="M2" s="208"/>
      <c r="N2" s="208"/>
      <c r="O2" s="208"/>
      <c r="P2" s="208"/>
      <c r="Q2" s="208"/>
      <c r="R2" s="208"/>
      <c r="S2" s="208"/>
      <c r="T2" s="208"/>
      <c r="U2" s="208"/>
      <c r="V2" s="208"/>
      <c r="W2" s="208"/>
      <c r="X2" s="212"/>
      <c r="Y2" s="212"/>
      <c r="Z2" s="212"/>
      <c r="AA2" s="212"/>
      <c r="AB2" s="212"/>
      <c r="AC2" s="208"/>
      <c r="AD2" s="208"/>
      <c r="AE2" s="208"/>
      <c r="AF2" s="208"/>
      <c r="AG2" s="212"/>
      <c r="AH2" s="212"/>
      <c r="AI2" s="212"/>
      <c r="AJ2" s="212"/>
      <c r="AK2" s="212"/>
      <c r="AL2" s="212"/>
      <c r="AM2" s="212"/>
      <c r="AN2" s="212"/>
      <c r="AO2" s="212"/>
      <c r="AP2" s="212"/>
      <c r="AQ2" s="212"/>
      <c r="AR2" s="212"/>
      <c r="AS2" s="212"/>
      <c r="AT2" s="212"/>
      <c r="AU2" s="212"/>
      <c r="AV2" s="212"/>
      <c r="AW2" s="212"/>
      <c r="AX2" s="212"/>
      <c r="AY2" s="212"/>
      <c r="AZ2" s="212"/>
      <c r="BA2" s="212"/>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12"/>
      <c r="CO2" s="212"/>
      <c r="CP2" s="212"/>
      <c r="CQ2" s="212"/>
      <c r="CR2" s="212"/>
      <c r="CS2" s="212"/>
      <c r="CT2" s="212"/>
      <c r="CU2" s="212"/>
      <c r="CV2" s="212"/>
      <c r="CW2" s="208"/>
      <c r="CX2" s="208"/>
      <c r="CY2" s="208"/>
      <c r="CZ2" s="208"/>
      <c r="DA2" s="212"/>
      <c r="DB2" s="208"/>
      <c r="DC2" s="208"/>
    </row>
    <row r="3" spans="1:113" s="213" customFormat="1">
      <c r="C3" s="214"/>
      <c r="D3" s="214"/>
      <c r="E3" s="214"/>
      <c r="F3" s="214"/>
      <c r="G3" s="214"/>
      <c r="H3" s="214"/>
      <c r="I3" s="214"/>
      <c r="J3" s="214"/>
      <c r="K3" s="214"/>
      <c r="L3" s="214"/>
      <c r="M3" s="214"/>
      <c r="N3" s="214"/>
      <c r="O3" s="214"/>
      <c r="P3" s="214"/>
      <c r="Q3" s="214"/>
      <c r="R3" s="214"/>
      <c r="S3" s="214"/>
      <c r="T3" s="214"/>
      <c r="U3" s="214"/>
      <c r="V3" s="214"/>
      <c r="W3" s="214"/>
      <c r="X3" s="214"/>
      <c r="Y3" s="215"/>
      <c r="Z3" s="215"/>
      <c r="AA3" s="215"/>
      <c r="AB3" s="215"/>
      <c r="AC3" s="216"/>
      <c r="AD3" s="216"/>
      <c r="AE3" s="216"/>
      <c r="AF3" s="216"/>
      <c r="AG3" s="214"/>
      <c r="AH3" s="214"/>
      <c r="AI3" s="214"/>
      <c r="AJ3" s="214"/>
      <c r="AK3" s="214"/>
      <c r="AL3" s="214"/>
      <c r="AM3" s="214"/>
      <c r="AN3" s="214"/>
      <c r="AO3" s="214"/>
      <c r="AP3" s="214"/>
      <c r="AQ3" s="214"/>
      <c r="AR3" s="214"/>
      <c r="AS3" s="214"/>
      <c r="AT3" s="214"/>
      <c r="AU3" s="214"/>
      <c r="AV3" s="214"/>
      <c r="AW3" s="214"/>
      <c r="AX3" s="214"/>
      <c r="AY3" s="214"/>
      <c r="AZ3" s="214"/>
      <c r="BA3" s="214"/>
      <c r="BB3" s="216"/>
      <c r="BC3" s="216"/>
      <c r="BD3" s="216"/>
      <c r="BE3" s="216"/>
      <c r="BF3" s="216"/>
      <c r="BG3" s="216"/>
      <c r="BH3" s="216"/>
      <c r="BJ3" s="216"/>
      <c r="BQ3" s="216"/>
      <c r="BR3" s="216"/>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DA3" s="215"/>
    </row>
    <row r="4" spans="1:113">
      <c r="A4" s="209">
        <f>Y4+Z4+AA4+AB4</f>
        <v>2</v>
      </c>
      <c r="B4" s="209" t="str">
        <f>'Team Setup'!B5</f>
        <v>APOEL Nikosia</v>
      </c>
      <c r="C4" s="210">
        <f>SUMPRODUCT(('Group Stages'!$I$10:$I$153&lt;&gt;"")*('Group Stages'!$K$10:$K$153&lt;&gt;"")*('Group Stages'!$G$10:$G$153='Dummy Table'!$B4)*('Group Stages'!$I$10:$I$153&gt;'Group Stages'!$K$10:$K$153))</f>
        <v>1</v>
      </c>
      <c r="D4" s="210">
        <f>SUMPRODUCT(('Group Stages'!$I$10:$I$153&lt;&gt;"")*('Group Stages'!$K$10:$K$153&lt;&gt;"")*('Group Stages'!$G$10:$G$153='Dummy Table'!$B4)*('Group Stages'!$I$10:$I$153='Group Stages'!$K$10:$K$153))</f>
        <v>0</v>
      </c>
      <c r="E4" s="210">
        <f>SUMPRODUCT(('Group Stages'!$I$10:$I$153&lt;&gt;"")*('Group Stages'!$K$10:$K$153&lt;&gt;"")*('Group Stages'!$G$10:$G$153='Dummy Table'!$B4)*('Group Stages'!$I$10:$I$153&lt;'Group Stages'!$K$10:$K$153))</f>
        <v>1</v>
      </c>
      <c r="F4" s="210">
        <f>SUMIF('Group Stages'!$G$10:$G$153,'Dummy Table'!$B4,'Group Stages'!$I$10:$I$153)</f>
        <v>0</v>
      </c>
      <c r="G4" s="210">
        <f>SUMIF('Group Stages'!$G$10:$G$153,'Dummy Table'!$B4,'Group Stages'!$K$10:$K$153)</f>
        <v>0</v>
      </c>
      <c r="H4" s="210">
        <f>F4-G4</f>
        <v>0</v>
      </c>
      <c r="I4" s="210">
        <f>C4*3+D4*1</f>
        <v>3</v>
      </c>
      <c r="J4" s="209">
        <f>SUMPRODUCT(('Group Stages'!$I$10:$I$153&lt;&gt;"")*('Group Stages'!$K$10:$K$153&lt;&gt;"")*('Group Stages'!$M$10:$M$153='Dummy Table'!$B4)*('Group Stages'!$I$10:$I$153&lt;'Group Stages'!$K$10:$K$153))</f>
        <v>0</v>
      </c>
      <c r="K4" s="209">
        <f>SUMPRODUCT(('Group Stages'!$I$10:$I$153&lt;&gt;"")*('Group Stages'!$K$10:$K$153&lt;&gt;"")*('Group Stages'!$M$10:$M$153='Dummy Table'!$B4)*('Group Stages'!$I$10:$I$153='Group Stages'!$K$10:$K$153))</f>
        <v>1</v>
      </c>
      <c r="L4" s="209">
        <f>SUMPRODUCT(('Group Stages'!$I$10:$I$153&lt;&gt;"")*('Group Stages'!$K$10:$K$153&lt;&gt;"")*('Group Stages'!$M$10:$M$153='Dummy Table'!$B4)*('Group Stages'!$I$10:$I$153&gt;'Group Stages'!$K$10:$K$153))</f>
        <v>1</v>
      </c>
      <c r="M4" s="209">
        <f>SUMIF('Group Stages'!$M$10:$M$153,'Dummy Table'!$B4,'Group Stages'!$K$10:$K$153)</f>
        <v>0</v>
      </c>
      <c r="N4" s="209">
        <f>SUMIF('Group Stages'!$M$10:$M$153,'Dummy Table'!$B4,'Group Stages'!$I$10:$I$153)</f>
        <v>0</v>
      </c>
      <c r="O4" s="209">
        <f>M4-N4</f>
        <v>0</v>
      </c>
      <c r="P4" s="209">
        <f>J4*3+K4*1</f>
        <v>1</v>
      </c>
      <c r="Q4" s="209">
        <f>C4+J4</f>
        <v>1</v>
      </c>
      <c r="R4" s="209">
        <f t="shared" ref="R4:W4" si="0">D4+K4</f>
        <v>1</v>
      </c>
      <c r="S4" s="209">
        <f t="shared" si="0"/>
        <v>2</v>
      </c>
      <c r="T4" s="209">
        <f t="shared" si="0"/>
        <v>0</v>
      </c>
      <c r="U4" s="209">
        <f t="shared" si="0"/>
        <v>0</v>
      </c>
      <c r="V4" s="209">
        <f t="shared" si="0"/>
        <v>0</v>
      </c>
      <c r="W4" s="209">
        <f t="shared" si="0"/>
        <v>4</v>
      </c>
      <c r="X4" s="210">
        <f>IF('Team Setup'!F5&lt;&gt;"",'Team Setup'!F5,DI4)</f>
        <v>23500</v>
      </c>
      <c r="Y4" s="210">
        <f>RANK(W4,W$4:W$7)</f>
        <v>2</v>
      </c>
      <c r="Z4" s="210">
        <f>SUMPRODUCT((W$4:W$7=W4)*(V$4:V$7&gt;V4))</f>
        <v>0</v>
      </c>
      <c r="AA4" s="210">
        <f>SUMPRODUCT((Y$4:Y$7=Y4)*(Z$4:Z$7=Z4)*(T$4:T$7&gt;T4))</f>
        <v>0</v>
      </c>
      <c r="AB4" s="210">
        <f>SUMPRODUCT((Y$4:Y$7=Y4)*(Z$4:Z$7=Z4)*(T$4:T$7=T4)*(X$4:X$7&gt;X4))</f>
        <v>0</v>
      </c>
      <c r="AC4" s="209">
        <v>1</v>
      </c>
      <c r="AD4" s="209" t="str">
        <f>VLOOKUP(AC4,$A$4:$B$7,2,FALSE)</f>
        <v>Sevilla FC</v>
      </c>
      <c r="AE4" s="209">
        <f>VLOOKUP($AD4,$B$4:$W$7,22,FALSE)</f>
        <v>12</v>
      </c>
      <c r="AF4" s="209" t="str">
        <f>IF(AE4=AE5,AD4,"")</f>
        <v/>
      </c>
      <c r="AG4" s="210">
        <f>SUMPRODUCT(($BK$4:$BK$147='Dummy Table'!$AF4)*($BL$4:$BL$147&gt;$BM$4:$BM$147))</f>
        <v>0</v>
      </c>
      <c r="AH4" s="210">
        <f>SUMPRODUCT(($BK$4:$BK$147='Dummy Table'!$AF4)*($BL$4:$BL$147=$BM$4:$BM$147))</f>
        <v>134</v>
      </c>
      <c r="AI4" s="210">
        <f>SUMPRODUCT(($BK$4:$BK$147='Dummy Table'!$AF4)*($BL$4:$BL$147&lt;$BM$4:$BM$147))</f>
        <v>0</v>
      </c>
      <c r="AJ4" s="210">
        <f>SUMIF($BK$4:$BK$147,'Dummy Table'!$AF4,$BL$4:$BL$147)</f>
        <v>0</v>
      </c>
      <c r="AK4" s="210">
        <f>SUMIF($BK$4:$BK$147,'Dummy Table'!$AF4,$BM$4:$BM$147)</f>
        <v>0</v>
      </c>
      <c r="AL4" s="210">
        <f>AJ4-AK4</f>
        <v>0</v>
      </c>
      <c r="AM4" s="210" t="str">
        <f>IF(AF4&lt;&gt;"",AG4*3+AH4*1,"")</f>
        <v/>
      </c>
      <c r="AN4" s="210">
        <f>SUMPRODUCT(($BN$4:$BN$147='Dummy Table'!$AF4)*($BL$4:$BL$147&lt;$BM$4:$BM$147))</f>
        <v>0</v>
      </c>
      <c r="AO4" s="210">
        <f>SUMPRODUCT(($BN$4:$BN$147='Dummy Table'!$AF4)*($BL$4:$BL$147=$BM$4:$BM$147))</f>
        <v>134</v>
      </c>
      <c r="AP4" s="210">
        <f>SUMPRODUCT(($BN$4:$BN$147='Dummy Table'!$AF4)*($BL$4:$BL$147&gt;$BM$4:$BM$147))</f>
        <v>0</v>
      </c>
      <c r="AQ4" s="210">
        <f>SUMIF($BN$4:$BN$147,'Dummy Table'!$AF4,$BM$4:$BM$147)</f>
        <v>0</v>
      </c>
      <c r="AR4" s="210">
        <f>SUMIF($BN$4:$BN$147,'Dummy Table'!$AF4,$BL$4:$BL$147)</f>
        <v>0</v>
      </c>
      <c r="AS4" s="210">
        <f>AQ4-AR4</f>
        <v>0</v>
      </c>
      <c r="AT4" s="210" t="str">
        <f>IF(AF4&lt;&gt;"",AN4*3+AO4*1,"")</f>
        <v/>
      </c>
      <c r="AU4" s="210">
        <f t="shared" ref="AU4:AZ4" si="1">AG4+AN4</f>
        <v>0</v>
      </c>
      <c r="AV4" s="210">
        <f t="shared" si="1"/>
        <v>268</v>
      </c>
      <c r="AW4" s="210">
        <f t="shared" si="1"/>
        <v>0</v>
      </c>
      <c r="AX4" s="210">
        <f t="shared" si="1"/>
        <v>0</v>
      </c>
      <c r="AY4" s="210">
        <f t="shared" si="1"/>
        <v>0</v>
      </c>
      <c r="AZ4" s="210">
        <f t="shared" si="1"/>
        <v>0</v>
      </c>
      <c r="BA4" s="210">
        <f>IF(AF4&lt;&gt;"",AM4+AT4,-1)</f>
        <v>-1</v>
      </c>
      <c r="BB4" s="209" t="str">
        <f t="shared" ref="BB4:BB51" si="2">IF(AF4&lt;&gt;"",VLOOKUP(AF4,$B$4:$V$51,21,FALSE),"")</f>
        <v/>
      </c>
      <c r="BC4" s="209" t="str">
        <f t="shared" ref="BC4:BC51" si="3">IF(AF4&lt;&gt;"",VLOOKUP(AF4,$B$4:$T$51,19,FALSE),"")</f>
        <v/>
      </c>
      <c r="BD4" s="209" t="str">
        <f t="shared" ref="BD4:BD51" si="4">IF(AF4&lt;&gt;"",VLOOKUP(AF4,$B$4:$X$51,23,FALSE),"")</f>
        <v/>
      </c>
      <c r="BE4" s="209">
        <f>RANK(BA4,BA$4:BA$7)</f>
        <v>3</v>
      </c>
      <c r="BF4" s="209">
        <f>SUMPRODUCT((BA$4:BA$7=BA4)*(AZ$4:AZ$7&gt;AZ4))</f>
        <v>0</v>
      </c>
      <c r="BG4" s="209">
        <f>SUMPRODUCT((BA$4:BA$7=BA4)*(BE$4:BE$7=BE4)*(AZ$4:AZ$7=AZ4)*(AQ$4:AQ$7&gt;AQ4))</f>
        <v>0</v>
      </c>
      <c r="BH4" s="209">
        <f>SUMPRODUCT((BA$4:BA$7=BA4)*(BE$4:BE$7=BE4)*(AZ$4:AZ$7=AZ4)*(AQ$4:AQ$7=AQ4)*(BB$4:BB$7&gt;BB4))</f>
        <v>0</v>
      </c>
      <c r="BI4" s="209">
        <f>SUMPRODUCT((BA$4:BA$7=BA4)*(BE$4:BE$7=BE4)*(AZ$4:AZ$7=AZ4)*(AQ$4:AQ$7=AQ4)*(BB$4:BB$7=BB4)*(BC$4:BC$7&gt;BC4))</f>
        <v>0</v>
      </c>
      <c r="BJ4" s="209">
        <f>SUMPRODUCT((BA$4:BA$7=BA4)*(BE$4:BE$7=BE4)*(AZ$4:AZ$7=AZ4)*(AQ$4:AQ$7=AQ4)*(BB$4:BB$7=BB4)*(BC$4:BC$7=BC4)*(BD$4:BD$7&gt;BD4))</f>
        <v>0</v>
      </c>
      <c r="BK4" s="209" t="str">
        <f>IF(AND(COUNTIF($AF$4:$AF$35,'Group Stages'!G10)&gt;0,COUNTIF($AF$4:$AF$35,'Group Stages'!M10)&gt;0,'Group Stages'!I10&lt;&gt;"",'Group Stages'!K10&lt;&gt;""),'Group Stages'!G10,"")</f>
        <v/>
      </c>
      <c r="BL4" s="209" t="str">
        <f>IF($BK4&lt;&gt;"",'Group Stages'!$I10,"")</f>
        <v/>
      </c>
      <c r="BM4" s="209" t="str">
        <f>IF($BK4&lt;&gt;"",'Group Stages'!$K10,"")</f>
        <v/>
      </c>
      <c r="BN4" s="209" t="str">
        <f>IF($BK4&lt;&gt;"",'Group Stages'!$M10,"")</f>
        <v/>
      </c>
      <c r="BO4" s="209" t="str">
        <f t="shared" ref="BO4:BO35" si="5">IF(AF4="","",SUM(BE4:BJ4))</f>
        <v/>
      </c>
      <c r="BP4" s="209" t="str">
        <f>IF(AF4="","",AF4)</f>
        <v/>
      </c>
      <c r="BQ4" s="209">
        <f>VLOOKUP($AD4,$B$4:$W$7,22,FALSE)</f>
        <v>12</v>
      </c>
      <c r="BS4" s="217">
        <f>SUMPRODUCT(($CW$4:$CW$147='Dummy Table'!$BR4)*($CX$4:$CX$147&gt;$CY$4:$CY$147))</f>
        <v>0</v>
      </c>
      <c r="BT4" s="217">
        <f>SUMPRODUCT(($CW$4:$CW$147='Dummy Table'!$BR4)*($CX$4:$CX$147=$CY$4:$CY$147))</f>
        <v>142</v>
      </c>
      <c r="BU4" s="217">
        <f>SUMPRODUCT(($CW$4:$CW$147='Dummy Table'!$BR4)*($CX$4:$CX$147&lt;$CY$4:$CY$147))</f>
        <v>0</v>
      </c>
      <c r="BV4" s="217">
        <f>SUMIF($CW$4:$CW$147,'Dummy Table'!$BR4,$CX$4:$CX$147)</f>
        <v>0</v>
      </c>
      <c r="BW4" s="217">
        <f>SUMIF($CW$4:$CW$147,'Dummy Table'!$BR4,$CY$4:$CY$147)</f>
        <v>0</v>
      </c>
      <c r="BX4" s="217">
        <f>BV4-BW4</f>
        <v>0</v>
      </c>
      <c r="BY4" s="217" t="str">
        <f>IF(BR4&lt;&gt;"",BS4*3+BT4*1,"")</f>
        <v/>
      </c>
      <c r="BZ4" s="217">
        <f>SUMPRODUCT(($CZ$4:$CZ$147='Dummy Table'!$BR4)*($CX$4:$CX$147&lt;$CY$4:$CY$147))</f>
        <v>0</v>
      </c>
      <c r="CA4" s="217">
        <f>SUMPRODUCT(($CZ$4:$CZ$147='Dummy Table'!$BR4)*($CX$4:$CX$147=$CY$4:$CY$147))</f>
        <v>142</v>
      </c>
      <c r="CB4" s="217">
        <f>SUMPRODUCT(($CZ$4:$CZ$147='Dummy Table'!$BR4)*($CX$4:$CX$147&gt;$CY$4:$CY$147))</f>
        <v>0</v>
      </c>
      <c r="CC4" s="217">
        <f>SUMIF($CZ$4:$CZ$147,'Dummy Table'!$BR4,$CY$4:$CY$147)</f>
        <v>0</v>
      </c>
      <c r="CD4" s="217">
        <f>SUMIF($CZ$4:$CZ$147,'Dummy Table'!$BR4,$CX$4:$CX$147)</f>
        <v>0</v>
      </c>
      <c r="CE4" s="217">
        <f>CC4-CD4</f>
        <v>0</v>
      </c>
      <c r="CF4" s="217" t="str">
        <f>IF(BR4&lt;&gt;"",BZ4*3+CA4*1,"")</f>
        <v/>
      </c>
      <c r="CG4" s="217">
        <f>BS4+BZ4</f>
        <v>0</v>
      </c>
      <c r="CH4" s="217">
        <f t="shared" ref="CH4:CH35" si="6">BT4+CA4</f>
        <v>284</v>
      </c>
      <c r="CI4" s="217">
        <f t="shared" ref="CI4:CI35" si="7">BU4+CB4</f>
        <v>0</v>
      </c>
      <c r="CJ4" s="217">
        <f t="shared" ref="CJ4:CJ35" si="8">BV4+CC4</f>
        <v>0</v>
      </c>
      <c r="CK4" s="217">
        <f t="shared" ref="CK4:CK35" si="9">BW4+CD4</f>
        <v>0</v>
      </c>
      <c r="CL4" s="217">
        <f t="shared" ref="CL4:CL35" si="10">BX4+CE4</f>
        <v>0</v>
      </c>
      <c r="CM4" s="217">
        <f>IF(BR4&lt;&gt;"",BY4+CF4,-1)</f>
        <v>-1</v>
      </c>
      <c r="CN4" s="210">
        <f>X4</f>
        <v>23500</v>
      </c>
      <c r="CO4" s="210">
        <f>SUMIF($CZ$4:$CZ$147,'Dummy Table'!$BR4,$CY$4:$CY$147)*2</f>
        <v>0</v>
      </c>
      <c r="CP4" s="210">
        <f>RANK(CM4,CM$4:CM$7)</f>
        <v>1</v>
      </c>
      <c r="CR4" s="210">
        <f>SUMPRODUCT((CM$4:CM$7=CM4)*(CL$4:CL$7&gt;CL4))</f>
        <v>0</v>
      </c>
      <c r="CS4" s="210">
        <f>SUMPRODUCT((CP$4:CP$7=CP4)*(CR$4:CR$7=CR4)*(CO$4:CO$7&gt;CO4))</f>
        <v>0</v>
      </c>
      <c r="CT4" s="210">
        <f>IF($BR4&lt;&gt;"",SUMPRODUCT((CP$4:CP$7=CP4)*(CR$4:CR$7=CR4)*(CS$4:CS$7=CS4)*(V$4:V$7&gt;V4)),0)</f>
        <v>0</v>
      </c>
      <c r="CU4" s="210">
        <f>IF($BR4&lt;&gt;"",SUMPRODUCT((CP$4:CP$7=CP4)*(CR$4:CR$7=CR4)*(CS$4:CS$7=CS4)*(CT$4:CT$7=CT4)*(T$4:T$7&gt;T4)),0)</f>
        <v>0</v>
      </c>
      <c r="CV4" s="210">
        <f>SUMPRODUCT((CP$4:CP$7=CP4)*(CR$4:CR$7=CR4)*(CS$4:CS$7=CS4)*(CT$4:CT$7=CT4)*(CU$4:CU$7=CU4)*(CN$4:CN$7&gt;CN4))</f>
        <v>1</v>
      </c>
      <c r="CW4" s="209" t="str">
        <f>IF(AND(COUNTIF($BR$4:$BR$35,'Group Stages'!$G10)&gt;0,COUNTIF($BR$4:$BR$35,'Group Stages'!$M10)&gt;0),'Group Stages'!$G10,"")</f>
        <v/>
      </c>
      <c r="CX4" s="209" t="str">
        <f>IF($CW4&lt;&gt;"",'Group Stages'!$I10,"")</f>
        <v/>
      </c>
      <c r="CY4" s="209" t="str">
        <f>IF($CW4&lt;&gt;"",'Group Stages'!$K10,"")</f>
        <v/>
      </c>
      <c r="CZ4" s="209" t="str">
        <f>IF($CW4&lt;&gt;"",'Group Stages'!$M10,"")</f>
        <v/>
      </c>
      <c r="DA4" s="210" t="str">
        <f t="shared" ref="DA4:DA35" si="11">IF(BR4="","",SUM(CP4:CV4))</f>
        <v/>
      </c>
      <c r="DB4" s="209" t="str">
        <f>IF(BR4="","",BR4)</f>
        <v/>
      </c>
      <c r="DC4" s="209">
        <v>1</v>
      </c>
      <c r="DD4" s="209" t="str">
        <f>IF(AF4="",AD4,"")</f>
        <v>Sevilla FC</v>
      </c>
      <c r="DE4" s="209" t="str">
        <f>IF(DD4="",DC4,"")</f>
        <v/>
      </c>
      <c r="DF4" s="209" t="str">
        <f>VLOOKUP(DE4,$BO$4:$BP$7,2,FALSE)</f>
        <v/>
      </c>
      <c r="DG4" s="209">
        <v>1</v>
      </c>
      <c r="DH4" s="209" t="str">
        <f>IF(DD4="",DF4,DD4)</f>
        <v>Sevilla FC</v>
      </c>
      <c r="DI4" s="209">
        <v>1</v>
      </c>
    </row>
    <row r="5" spans="1:113">
      <c r="A5" s="209">
        <f t="shared" ref="A5:A35" si="12">Y5+Z5+AA5+AB5</f>
        <v>3</v>
      </c>
      <c r="B5" s="209" t="str">
        <f>'Team Setup'!B6</f>
        <v>Qarabağ FK</v>
      </c>
      <c r="C5" s="210">
        <f>SUMPRODUCT(('Group Stages'!$I$10:$I$153&lt;&gt;"")*('Group Stages'!$K$10:$K$153&lt;&gt;"")*('Group Stages'!$G$10:$G$153='Dummy Table'!$B5)*('Group Stages'!$I$10:$I$153&gt;'Group Stages'!$K$10:$K$153))</f>
        <v>0</v>
      </c>
      <c r="D5" s="210">
        <f>SUMPRODUCT(('Group Stages'!$I$10:$I$153&lt;&gt;"")*('Group Stages'!$K$10:$K$153&lt;&gt;"")*('Group Stages'!$G$10:$G$153='Dummy Table'!$B5)*('Group Stages'!$I$10:$I$153='Group Stages'!$K$10:$K$153))</f>
        <v>1</v>
      </c>
      <c r="E5" s="210">
        <f>SUMPRODUCT(('Group Stages'!$I$10:$I$153&lt;&gt;"")*('Group Stages'!$K$10:$K$153&lt;&gt;"")*('Group Stages'!$G$10:$G$153='Dummy Table'!$B5)*('Group Stages'!$I$10:$I$153&lt;'Group Stages'!$K$10:$K$153))</f>
        <v>1</v>
      </c>
      <c r="F5" s="210">
        <f>SUMIF('Group Stages'!$G$10:$G$153,'Dummy Table'!$B5,'Group Stages'!$I$10:$I$153)</f>
        <v>0</v>
      </c>
      <c r="G5" s="210">
        <f>SUMIF('Group Stages'!$G$10:$G$153,'Dummy Table'!$B5,'Group Stages'!$K$10:$K$153)</f>
        <v>0</v>
      </c>
      <c r="H5" s="210">
        <f t="shared" ref="H5:H35" si="13">F5-G5</f>
        <v>0</v>
      </c>
      <c r="I5" s="210">
        <f t="shared" ref="I5:I35" si="14">C5*3+D5*1</f>
        <v>1</v>
      </c>
      <c r="J5" s="209">
        <f>SUMPRODUCT(('Group Stages'!$I$10:$I$153&lt;&gt;"")*('Group Stages'!$K$10:$K$153&lt;&gt;"")*('Group Stages'!$M$10:$M$153='Dummy Table'!$B5)*('Group Stages'!$I$10:$I$153&lt;'Group Stages'!$K$10:$K$153))</f>
        <v>1</v>
      </c>
      <c r="K5" s="209">
        <f>SUMPRODUCT(('Group Stages'!$I$10:$I$153&lt;&gt;"")*('Group Stages'!$K$10:$K$153&lt;&gt;"")*('Group Stages'!$M$10:$M$153='Dummy Table'!$B5)*('Group Stages'!$I$10:$I$153='Group Stages'!$K$10:$K$153))</f>
        <v>0</v>
      </c>
      <c r="L5" s="209">
        <f>SUMPRODUCT(('Group Stages'!$I$10:$I$153&lt;&gt;"")*('Group Stages'!$K$10:$K$153&lt;&gt;"")*('Group Stages'!$M$10:$M$153='Dummy Table'!$B5)*('Group Stages'!$I$10:$I$153&gt;'Group Stages'!$K$10:$K$153))</f>
        <v>1</v>
      </c>
      <c r="M5" s="209">
        <f>SUMIF('Group Stages'!$M$10:$M$153,'Dummy Table'!$B5,'Group Stages'!$K$10:$K$153)</f>
        <v>0</v>
      </c>
      <c r="N5" s="209">
        <f>SUMIF('Group Stages'!$M$10:$M$153,'Dummy Table'!$B5,'Group Stages'!$I$10:$I$153)</f>
        <v>0</v>
      </c>
      <c r="O5" s="209">
        <f t="shared" ref="O5:O35" si="15">M5-N5</f>
        <v>0</v>
      </c>
      <c r="P5" s="209">
        <f t="shared" ref="P5:P35" si="16">J5*3+K5*1</f>
        <v>3</v>
      </c>
      <c r="Q5" s="209">
        <f t="shared" ref="Q5:Q35" si="17">C5+J5</f>
        <v>1</v>
      </c>
      <c r="R5" s="209">
        <f t="shared" ref="R5:R35" si="18">D5+K5</f>
        <v>1</v>
      </c>
      <c r="S5" s="209">
        <f t="shared" ref="S5:S35" si="19">E5+L5</f>
        <v>2</v>
      </c>
      <c r="T5" s="209">
        <f t="shared" ref="T5:T35" si="20">F5+M5</f>
        <v>0</v>
      </c>
      <c r="U5" s="209">
        <f t="shared" ref="U5:U35" si="21">G5+N5</f>
        <v>0</v>
      </c>
      <c r="V5" s="209">
        <f t="shared" ref="V5:V35" si="22">H5+O5</f>
        <v>0</v>
      </c>
      <c r="W5" s="209">
        <f t="shared" ref="W5:W35" si="23">I5+P5</f>
        <v>4</v>
      </c>
      <c r="X5" s="210">
        <f>IF('Team Setup'!F6&lt;&gt;"",'Team Setup'!F6,DI5)</f>
        <v>20000</v>
      </c>
      <c r="Y5" s="210">
        <f>RANK(W5,W$4:W$7)</f>
        <v>2</v>
      </c>
      <c r="Z5" s="210">
        <f>SUMPRODUCT((W$4:W$7=W5)*(V$4:V$7&gt;V5))</f>
        <v>0</v>
      </c>
      <c r="AA5" s="210">
        <f>SUMPRODUCT((Y$4:Y$7=Y5)*(Z$4:Z$7=Z5)*(T$4:T$7&gt;T5))</f>
        <v>0</v>
      </c>
      <c r="AB5" s="210">
        <f>SUMPRODUCT((Y$4:Y$7=Y5)*(Z$4:Z$7=Z5)*(T$4:T$7=T5)*(X$4:X$7&gt;X5))</f>
        <v>1</v>
      </c>
      <c r="AC5" s="209">
        <v>2</v>
      </c>
      <c r="AD5" s="209" t="str">
        <f>VLOOKUP(AC5,$A$4:$B$7,2,FALSE)</f>
        <v>APOEL Nikosia</v>
      </c>
      <c r="AE5" s="209">
        <f>VLOOKUP($AD5,$B$4:$W$7,22,FALSE)</f>
        <v>4</v>
      </c>
      <c r="AF5" s="209" t="str">
        <f>IF(OR(AE5=AE4,AE5=AE6),AD5,"")</f>
        <v>APOEL Nikosia</v>
      </c>
      <c r="AG5" s="210">
        <f>SUMPRODUCT(($BK$4:$BK$147='Dummy Table'!$AF5)*($BL$4:$BL$147&gt;$BM$4:$BM$147))</f>
        <v>1</v>
      </c>
      <c r="AH5" s="210">
        <f>SUMPRODUCT(($BK$4:$BK$147='Dummy Table'!$AF5)*($BL$4:$BL$147=$BM$4:$BM$147))</f>
        <v>0</v>
      </c>
      <c r="AI5" s="210">
        <f>SUMPRODUCT(($BK$4:$BK$147='Dummy Table'!$AF5)*($BL$4:$BL$147&lt;$BM$4:$BM$147))</f>
        <v>0</v>
      </c>
      <c r="AJ5" s="210">
        <f>SUMIF($BK$4:$BK$147,'Dummy Table'!$AF5,$BL$4:$BL$147)</f>
        <v>0</v>
      </c>
      <c r="AK5" s="210">
        <f>SUMIF($BK$4:$BK$147,'Dummy Table'!$AF5,$BM$4:$BM$147)</f>
        <v>0</v>
      </c>
      <c r="AL5" s="210">
        <f t="shared" ref="AL5:AL35" si="24">AJ5-AK5</f>
        <v>0</v>
      </c>
      <c r="AM5" s="210">
        <f t="shared" ref="AM5:AM35" si="25">IF(AF5&lt;&gt;"",AG5*3+AH5*1,"")</f>
        <v>3</v>
      </c>
      <c r="AN5" s="210">
        <f>SUMPRODUCT(($BN$4:$BN$147='Dummy Table'!$AF5)*($BL$4:$BL$147&lt;$BM$4:$BM$147))</f>
        <v>0</v>
      </c>
      <c r="AO5" s="210">
        <f>SUMPRODUCT(($BN$4:$BN$147='Dummy Table'!$AF5)*($BL$4:$BL$147=$BM$4:$BM$147))</f>
        <v>1</v>
      </c>
      <c r="AP5" s="210">
        <f>SUMPRODUCT(($BN$4:$BN$147='Dummy Table'!$AF5)*($BL$4:$BL$147&gt;$BM$4:$BM$147))</f>
        <v>0</v>
      </c>
      <c r="AQ5" s="210">
        <f>SUMIF($BN$4:$BN$147,'Dummy Table'!$AF5,$BM$4:$BM$147)</f>
        <v>0</v>
      </c>
      <c r="AR5" s="210">
        <f>SUMIF($BN$4:$BN$147,'Dummy Table'!$AF5,$BL$4:$BL$147)</f>
        <v>0</v>
      </c>
      <c r="AS5" s="210">
        <f t="shared" ref="AS5:AS35" si="26">AQ5-AR5</f>
        <v>0</v>
      </c>
      <c r="AT5" s="210">
        <f t="shared" ref="AT5:AT35" si="27">IF(AF5&lt;&gt;"",AN5*3+AO5*1,"")</f>
        <v>1</v>
      </c>
      <c r="AU5" s="210">
        <f t="shared" ref="AU5:AU35" si="28">AG5+AN5</f>
        <v>1</v>
      </c>
      <c r="AV5" s="210">
        <f t="shared" ref="AV5:AV35" si="29">AH5+AO5</f>
        <v>1</v>
      </c>
      <c r="AW5" s="210">
        <f t="shared" ref="AW5:AW35" si="30">AI5+AP5</f>
        <v>0</v>
      </c>
      <c r="AX5" s="210">
        <f t="shared" ref="AX5:AX35" si="31">AJ5+AQ5</f>
        <v>0</v>
      </c>
      <c r="AY5" s="210">
        <f t="shared" ref="AY5:AY35" si="32">AK5+AR5</f>
        <v>0</v>
      </c>
      <c r="AZ5" s="210">
        <f t="shared" ref="AZ5:AZ35" si="33">AL5+AS5</f>
        <v>0</v>
      </c>
      <c r="BA5" s="210">
        <f>IF(AF5&lt;&gt;"",AM5+AT5,-1)</f>
        <v>4</v>
      </c>
      <c r="BB5" s="209">
        <f t="shared" si="2"/>
        <v>0</v>
      </c>
      <c r="BC5" s="209">
        <f t="shared" si="3"/>
        <v>0</v>
      </c>
      <c r="BD5" s="209">
        <f t="shared" si="4"/>
        <v>23500</v>
      </c>
      <c r="BE5" s="209">
        <f>RANK(BA5,BA$4:BA$7)</f>
        <v>1</v>
      </c>
      <c r="BF5" s="209">
        <f>SUMPRODUCT((BA$4:BA$7=BA5)*(AZ$4:AZ$7&gt;AZ5))</f>
        <v>0</v>
      </c>
      <c r="BG5" s="209">
        <f>SUMPRODUCT((BA$4:BA$7=BA5)*(BE$4:BE$7=BE5)*(AZ$4:AZ$7=AZ5)*(AQ$4:AQ$7&gt;AQ5))</f>
        <v>0</v>
      </c>
      <c r="BH5" s="209">
        <f>SUMPRODUCT((BA$4:BA$7=BA5)*(BE$4:BE$7=BE5)*(AZ$4:AZ$7=AZ5)*(AQ$4:AQ$7=AQ5)*(BB$4:BB$7&gt;BB5))</f>
        <v>0</v>
      </c>
      <c r="BI5" s="209">
        <f>SUMPRODUCT((BA$4:BA$7=BA5)*(BE$4:BE$7=BE5)*(AZ$4:AZ$7=AZ5)*(AQ$4:AQ$7=AQ5)*(BB$4:BB$7=BB5)*(BC$4:BC$7&gt;BC5))</f>
        <v>0</v>
      </c>
      <c r="BJ5" s="209">
        <f>SUMPRODUCT((BA$4:BA$7=BA5)*(BE$4:BE$7=BE5)*(AZ$4:AZ$7=AZ5)*(AQ$4:AQ$7=AQ5)*(BB$4:BB$7=BB5)*(BC$4:BC$7=BC5)*(BD$4:BD$7&gt;BD5))</f>
        <v>0</v>
      </c>
      <c r="BK5" s="209" t="str">
        <f>IF(AND(COUNTIF($AF$4:$AF$35,'Group Stages'!G11)&gt;0,COUNTIF($AF$4:$AF$35,'Group Stages'!M11)&gt;0,'Group Stages'!I11&lt;&gt;"",'Group Stages'!K11&lt;&gt;""),'Group Stages'!G11,"")</f>
        <v/>
      </c>
      <c r="BL5" s="209" t="str">
        <f>IF($BK5&lt;&gt;"",'Group Stages'!I11,"")</f>
        <v/>
      </c>
      <c r="BM5" s="209" t="str">
        <f>IF($BK5&lt;&gt;"",'Group Stages'!K11,"")</f>
        <v/>
      </c>
      <c r="BN5" s="209" t="str">
        <f>IF($BK5&lt;&gt;"",'Group Stages'!M11,"")</f>
        <v/>
      </c>
      <c r="BO5" s="209">
        <f t="shared" si="5"/>
        <v>1</v>
      </c>
      <c r="BP5" s="209" t="str">
        <f t="shared" ref="BP5:BP35" si="34">IF(AF5="","",AF5)</f>
        <v>APOEL Nikosia</v>
      </c>
      <c r="BQ5" s="209">
        <f>VLOOKUP($AD5,$B$4:$W$7,22,FALSE)</f>
        <v>4</v>
      </c>
      <c r="BS5" s="217">
        <f>SUMPRODUCT(($CW$4:$CW$147='Dummy Table'!$BR5)*($CX$4:$CX$147&gt;$CY$4:$CY$147))</f>
        <v>0</v>
      </c>
      <c r="BT5" s="217">
        <f>SUMPRODUCT(($CW$4:$CW$147='Dummy Table'!$BR5)*($CX$4:$CX$147=$CY$4:$CY$147))</f>
        <v>142</v>
      </c>
      <c r="BU5" s="217">
        <f>SUMPRODUCT(($CW$4:$CW$147='Dummy Table'!$BR5)*($CX$4:$CX$147&lt;$CY$4:$CY$147))</f>
        <v>0</v>
      </c>
      <c r="BV5" s="217">
        <f>SUMIF($CW$4:$CW$147,'Dummy Table'!$BR5,$CX$4:$CX$147)</f>
        <v>0</v>
      </c>
      <c r="BW5" s="217">
        <f>SUMIF($CW$4:$CW$147,'Dummy Table'!$BR5,$CY$4:$CY$147)</f>
        <v>0</v>
      </c>
      <c r="BX5" s="217">
        <f t="shared" ref="BX5:BX35" si="35">BV5-BW5</f>
        <v>0</v>
      </c>
      <c r="BY5" s="217" t="str">
        <f t="shared" ref="BY5:BY35" si="36">IF(BR5&lt;&gt;"",BS5*3+BT5*1,"")</f>
        <v/>
      </c>
      <c r="BZ5" s="217">
        <f>SUMPRODUCT(($CZ$4:$CZ$147='Dummy Table'!$BR5)*($CX$4:$CX$147&lt;$CY$4:$CY$147))</f>
        <v>0</v>
      </c>
      <c r="CA5" s="217">
        <f>SUMPRODUCT(($CZ$4:$CZ$147='Dummy Table'!$BR5)*($CX$4:$CX$147=$CY$4:$CY$147))</f>
        <v>142</v>
      </c>
      <c r="CB5" s="217">
        <f>SUMPRODUCT(($CZ$4:$CZ$147='Dummy Table'!$BR5)*($CX$4:$CX$147&gt;$CY$4:$CY$147))</f>
        <v>0</v>
      </c>
      <c r="CC5" s="217">
        <f>SUMIF($CZ$4:$CZ$147,'Dummy Table'!$BR5,$CY$4:$CY$147)</f>
        <v>0</v>
      </c>
      <c r="CD5" s="217">
        <f>SUMIF($CZ$4:$CZ$147,'Dummy Table'!$BR5,$CX$4:$CX$147)</f>
        <v>0</v>
      </c>
      <c r="CE5" s="217">
        <f t="shared" ref="CE5:CE35" si="37">CC5-CD5</f>
        <v>0</v>
      </c>
      <c r="CF5" s="217" t="str">
        <f t="shared" ref="CF5:CF35" si="38">IF(BR5&lt;&gt;"",BZ5*3+CA5*1,"")</f>
        <v/>
      </c>
      <c r="CG5" s="217">
        <f t="shared" ref="CG5:CG35" si="39">BS5+BZ5</f>
        <v>0</v>
      </c>
      <c r="CH5" s="217">
        <f t="shared" si="6"/>
        <v>284</v>
      </c>
      <c r="CI5" s="217">
        <f t="shared" si="7"/>
        <v>0</v>
      </c>
      <c r="CJ5" s="217">
        <f t="shared" si="8"/>
        <v>0</v>
      </c>
      <c r="CK5" s="217">
        <f t="shared" si="9"/>
        <v>0</v>
      </c>
      <c r="CL5" s="217">
        <f t="shared" si="10"/>
        <v>0</v>
      </c>
      <c r="CM5" s="217">
        <f>IF(BR5&lt;&gt;"",BY5+CF5,-1)</f>
        <v>-1</v>
      </c>
      <c r="CN5" s="210">
        <f t="shared" ref="CN5:CN35" si="40">X5</f>
        <v>20000</v>
      </c>
      <c r="CO5" s="210">
        <f>SUMIF($CZ$4:$CZ$147,'Dummy Table'!$BR5,$CY$4:$CY$147)*2</f>
        <v>0</v>
      </c>
      <c r="CP5" s="210">
        <f>RANK(CM5,CM$4:CM$7)</f>
        <v>1</v>
      </c>
      <c r="CR5" s="210">
        <f>SUMPRODUCT((CM$4:CM$7=CM5)*(CL$4:CL$7&gt;CL5))</f>
        <v>0</v>
      </c>
      <c r="CS5" s="210">
        <f>SUMPRODUCT((CP$4:CP$7=CP5)*(CR$4:CR$7=CR5)*(CO$4:CO$7&gt;CO5))</f>
        <v>0</v>
      </c>
      <c r="CT5" s="210">
        <f>IF($BR5&lt;&gt;"",SUMPRODUCT((CP$4:CP$7=CP5)*(CR$4:CR$7=CR5)*(CS$4:CS$7=CS5)*(V$4:V$7&gt;V5)),0)</f>
        <v>0</v>
      </c>
      <c r="CU5" s="210">
        <f t="shared" ref="CU5:CU7" si="41">IF($BR5&lt;&gt;"",SUMPRODUCT((CP$4:CP$7=CP5)*(CR$4:CR$7=CR5)*(CS$4:CS$7=CS5)*(CT$4:CT$7=CT5)*(T$4:T$7&gt;T5)),0)</f>
        <v>0</v>
      </c>
      <c r="CV5" s="210">
        <f t="shared" ref="CV5:CV7" si="42">SUMPRODUCT((CP$4:CP$7=CP5)*(CR$4:CR$7=CR5)*(CS$4:CS$7=CS5)*(CT$4:CT$7=CT5)*(CU$4:CU$7=CU5)*(CN$4:CN$7&gt;CN5))</f>
        <v>2</v>
      </c>
      <c r="CW5" s="209" t="str">
        <f>IF(AND(COUNTIF($BR$4:$BR$35,'Group Stages'!$G11)&gt;0,COUNTIF($BR$4:$BR$35,'Group Stages'!$M11)&gt;0),'Group Stages'!$G11,"")</f>
        <v/>
      </c>
      <c r="CX5" s="209" t="str">
        <f>IF($CW5&lt;&gt;"",'Group Stages'!$I11,"")</f>
        <v/>
      </c>
      <c r="CY5" s="209" t="str">
        <f>IF($CW5&lt;&gt;"",'Group Stages'!$K11,"")</f>
        <v/>
      </c>
      <c r="CZ5" s="209" t="str">
        <f>IF($CW5&lt;&gt;"",'Group Stages'!$M11,"")</f>
        <v/>
      </c>
      <c r="DA5" s="210" t="str">
        <f t="shared" si="11"/>
        <v/>
      </c>
      <c r="DB5" s="209" t="str">
        <f t="shared" ref="DB5:DB35" si="43">IF(BR5="","",BR5)</f>
        <v/>
      </c>
      <c r="DC5" s="209">
        <v>2</v>
      </c>
      <c r="DD5" s="209" t="str">
        <f>IF(AF5="",AD5,"")</f>
        <v/>
      </c>
      <c r="DE5" s="209">
        <f>IF(AND(DD5="",DD4=""),DC5,IF(AND(DD4&lt;&gt;"",DD5=""),1,""))</f>
        <v>1</v>
      </c>
      <c r="DF5" s="209" t="str">
        <f>VLOOKUP(DE5,$BO$4:$BP$7,2,FALSE)</f>
        <v>APOEL Nikosia</v>
      </c>
      <c r="DG5" s="209">
        <v>2</v>
      </c>
      <c r="DH5" s="209" t="str">
        <f>IF(DD5="",DF5,DD5)</f>
        <v>APOEL Nikosia</v>
      </c>
      <c r="DI5" s="209">
        <v>2</v>
      </c>
    </row>
    <row r="6" spans="1:113">
      <c r="A6" s="209">
        <f t="shared" si="12"/>
        <v>1</v>
      </c>
      <c r="B6" s="209" t="str">
        <f>'Team Setup'!B7</f>
        <v>Sevilla FC</v>
      </c>
      <c r="C6" s="210">
        <f>SUMPRODUCT(('Group Stages'!$I$10:$I$153&lt;&gt;"")*('Group Stages'!$K$10:$K$153&lt;&gt;"")*('Group Stages'!$G$10:$G$153='Dummy Table'!$B6)*('Group Stages'!$I$10:$I$153&gt;'Group Stages'!$K$10:$K$153))</f>
        <v>2</v>
      </c>
      <c r="D6" s="210">
        <f>SUMPRODUCT(('Group Stages'!$I$10:$I$153&lt;&gt;"")*('Group Stages'!$K$10:$K$153&lt;&gt;"")*('Group Stages'!$G$10:$G$153='Dummy Table'!$B6)*('Group Stages'!$I$10:$I$153='Group Stages'!$K$10:$K$153))</f>
        <v>0</v>
      </c>
      <c r="E6" s="210">
        <f>SUMPRODUCT(('Group Stages'!$I$10:$I$153&lt;&gt;"")*('Group Stages'!$K$10:$K$153&lt;&gt;"")*('Group Stages'!$G$10:$G$153='Dummy Table'!$B6)*('Group Stages'!$I$10:$I$153&lt;'Group Stages'!$K$10:$K$153))</f>
        <v>0</v>
      </c>
      <c r="F6" s="210">
        <f>SUMIF('Group Stages'!$G$10:$G$153,'Dummy Table'!$B6,'Group Stages'!$I$10:$I$153)</f>
        <v>0</v>
      </c>
      <c r="G6" s="210">
        <f>SUMIF('Group Stages'!$G$10:$G$153,'Dummy Table'!$B6,'Group Stages'!$K$10:$K$153)</f>
        <v>0</v>
      </c>
      <c r="H6" s="210">
        <f t="shared" si="13"/>
        <v>0</v>
      </c>
      <c r="I6" s="210">
        <f t="shared" si="14"/>
        <v>6</v>
      </c>
      <c r="J6" s="209">
        <f>SUMPRODUCT(('Group Stages'!$I$10:$I$153&lt;&gt;"")*('Group Stages'!$K$10:$K$153&lt;&gt;"")*('Group Stages'!$M$10:$M$153='Dummy Table'!$B6)*('Group Stages'!$I$10:$I$153&lt;'Group Stages'!$K$10:$K$153))</f>
        <v>2</v>
      </c>
      <c r="K6" s="209">
        <f>SUMPRODUCT(('Group Stages'!$I$10:$I$153&lt;&gt;"")*('Group Stages'!$K$10:$K$153&lt;&gt;"")*('Group Stages'!$M$10:$M$153='Dummy Table'!$B6)*('Group Stages'!$I$10:$I$153='Group Stages'!$K$10:$K$153))</f>
        <v>0</v>
      </c>
      <c r="L6" s="209">
        <f>SUMPRODUCT(('Group Stages'!$I$10:$I$153&lt;&gt;"")*('Group Stages'!$K$10:$K$153&lt;&gt;"")*('Group Stages'!$M$10:$M$153='Dummy Table'!$B6)*('Group Stages'!$I$10:$I$153&gt;'Group Stages'!$K$10:$K$153))</f>
        <v>0</v>
      </c>
      <c r="M6" s="209">
        <f>SUMIF('Group Stages'!$M$10:$M$153,'Dummy Table'!$B6,'Group Stages'!$K$10:$K$153)</f>
        <v>0</v>
      </c>
      <c r="N6" s="209">
        <f>SUMIF('Group Stages'!$M$10:$M$153,'Dummy Table'!$B6,'Group Stages'!$I$10:$I$153)</f>
        <v>0</v>
      </c>
      <c r="O6" s="209">
        <f t="shared" si="15"/>
        <v>0</v>
      </c>
      <c r="P6" s="209">
        <f t="shared" si="16"/>
        <v>6</v>
      </c>
      <c r="Q6" s="209">
        <f t="shared" si="17"/>
        <v>4</v>
      </c>
      <c r="R6" s="209">
        <f t="shared" si="18"/>
        <v>0</v>
      </c>
      <c r="S6" s="209">
        <f t="shared" si="19"/>
        <v>0</v>
      </c>
      <c r="T6" s="209">
        <f t="shared" si="20"/>
        <v>0</v>
      </c>
      <c r="U6" s="209">
        <f t="shared" si="21"/>
        <v>0</v>
      </c>
      <c r="V6" s="209">
        <f t="shared" si="22"/>
        <v>0</v>
      </c>
      <c r="W6" s="209">
        <f t="shared" si="23"/>
        <v>12</v>
      </c>
      <c r="X6" s="210">
        <f>IF('Team Setup'!F7&lt;&gt;"",'Team Setup'!F7,DI6)</f>
        <v>84000</v>
      </c>
      <c r="Y6" s="210">
        <f>RANK(W6,W$4:W$7)</f>
        <v>1</v>
      </c>
      <c r="Z6" s="210">
        <f>SUMPRODUCT((W$4:W$7=W6)*(V$4:V$7&gt;V6))</f>
        <v>0</v>
      </c>
      <c r="AA6" s="210">
        <f>SUMPRODUCT((Y$4:Y$7=Y6)*(Z$4:Z$7=Z6)*(T$4:T$7&gt;T6))</f>
        <v>0</v>
      </c>
      <c r="AB6" s="210">
        <f>SUMPRODUCT((Y$4:Y$7=Y6)*(Z$4:Z$7=Z6)*(T$4:T$7=T6)*(X$4:X$7&gt;X6))</f>
        <v>0</v>
      </c>
      <c r="AC6" s="209">
        <v>3</v>
      </c>
      <c r="AD6" s="209" t="str">
        <f>VLOOKUP(AC6,$A$4:$B$7,2,FALSE)</f>
        <v>Qarabağ FK</v>
      </c>
      <c r="AE6" s="209">
        <f>VLOOKUP($AD6,$B$4:$W$7,22,FALSE)</f>
        <v>4</v>
      </c>
      <c r="AF6" s="209" t="str">
        <f>IF(AE6=AE5,AD6,"")</f>
        <v>Qarabağ FK</v>
      </c>
      <c r="AG6" s="210">
        <f>SUMPRODUCT(($BK$4:$BK$147='Dummy Table'!$AF6)*($BL$4:$BL$147&gt;$BM$4:$BM$147))</f>
        <v>0</v>
      </c>
      <c r="AH6" s="210">
        <f>SUMPRODUCT(($BK$4:$BK$147='Dummy Table'!$AF6)*($BL$4:$BL$147=$BM$4:$BM$147))</f>
        <v>1</v>
      </c>
      <c r="AI6" s="210">
        <f>SUMPRODUCT(($BK$4:$BK$147='Dummy Table'!$AF6)*($BL$4:$BL$147&lt;$BM$4:$BM$147))</f>
        <v>0</v>
      </c>
      <c r="AJ6" s="210">
        <f>SUMIF($BK$4:$BK$147,'Dummy Table'!$AF6,$BL$4:$BL$147)</f>
        <v>0</v>
      </c>
      <c r="AK6" s="210">
        <f>SUMIF($BK$4:$BK$147,'Dummy Table'!$AF6,$BM$4:$BM$147)</f>
        <v>0</v>
      </c>
      <c r="AL6" s="210">
        <f t="shared" si="24"/>
        <v>0</v>
      </c>
      <c r="AM6" s="210">
        <f t="shared" si="25"/>
        <v>1</v>
      </c>
      <c r="AN6" s="210">
        <f>SUMPRODUCT(($BN$4:$BN$147='Dummy Table'!$AF6)*($BL$4:$BL$147&lt;$BM$4:$BM$147))</f>
        <v>0</v>
      </c>
      <c r="AO6" s="210">
        <f>SUMPRODUCT(($BN$4:$BN$147='Dummy Table'!$AF6)*($BL$4:$BL$147=$BM$4:$BM$147))</f>
        <v>0</v>
      </c>
      <c r="AP6" s="210">
        <f>SUMPRODUCT(($BN$4:$BN$147='Dummy Table'!$AF6)*($BL$4:$BL$147&gt;$BM$4:$BM$147))</f>
        <v>1</v>
      </c>
      <c r="AQ6" s="210">
        <f>SUMIF($BN$4:$BN$147,'Dummy Table'!$AF6,$BM$4:$BM$147)</f>
        <v>0</v>
      </c>
      <c r="AR6" s="210">
        <f>SUMIF($BN$4:$BN$147,'Dummy Table'!$AF6,$BL$4:$BL$147)</f>
        <v>0</v>
      </c>
      <c r="AS6" s="210">
        <f t="shared" si="26"/>
        <v>0</v>
      </c>
      <c r="AT6" s="210">
        <f t="shared" si="27"/>
        <v>0</v>
      </c>
      <c r="AU6" s="210">
        <f t="shared" si="28"/>
        <v>0</v>
      </c>
      <c r="AV6" s="210">
        <f t="shared" si="29"/>
        <v>1</v>
      </c>
      <c r="AW6" s="210">
        <f t="shared" si="30"/>
        <v>1</v>
      </c>
      <c r="AX6" s="210">
        <f t="shared" si="31"/>
        <v>0</v>
      </c>
      <c r="AY6" s="210">
        <f t="shared" si="32"/>
        <v>0</v>
      </c>
      <c r="AZ6" s="210">
        <f t="shared" si="33"/>
        <v>0</v>
      </c>
      <c r="BA6" s="210">
        <f t="shared" ref="BA6:BA35" si="44">IF(AF6&lt;&gt;"",AM6+AT6,-1)</f>
        <v>1</v>
      </c>
      <c r="BB6" s="209">
        <f t="shared" si="2"/>
        <v>0</v>
      </c>
      <c r="BC6" s="209">
        <f t="shared" si="3"/>
        <v>0</v>
      </c>
      <c r="BD6" s="209">
        <f t="shared" si="4"/>
        <v>20000</v>
      </c>
      <c r="BE6" s="209">
        <f>RANK(BA6,BA$4:BA$7)</f>
        <v>2</v>
      </c>
      <c r="BF6" s="209">
        <f>SUMPRODUCT((BA$4:BA$7=BA6)*(AZ$4:AZ$7&gt;AZ6))</f>
        <v>0</v>
      </c>
      <c r="BG6" s="209">
        <f>SUMPRODUCT((BA$4:BA$7=BA6)*(BE$4:BE$7=BE6)*(AZ$4:AZ$7=AZ6)*(AQ$4:AQ$7&gt;AQ6))</f>
        <v>0</v>
      </c>
      <c r="BH6" s="209">
        <f>SUMPRODUCT((BA$4:BA$7=BA6)*(BE$4:BE$7=BE6)*(AZ$4:AZ$7=AZ6)*(AQ$4:AQ$7=AQ6)*(BB$4:BB$7&gt;BB6))</f>
        <v>0</v>
      </c>
      <c r="BI6" s="209">
        <f>SUMPRODUCT((BA$4:BA$7=BA6)*(BE$4:BE$7=BE6)*(AZ$4:AZ$7=AZ6)*(AQ$4:AQ$7=AQ6)*(BB$4:BB$7=BB6)*(BC$4:BC$7&gt;BC6))</f>
        <v>0</v>
      </c>
      <c r="BJ6" s="209">
        <f>SUMPRODUCT((BA$4:BA$7=BA6)*(BE$4:BE$7=BE6)*(AZ$4:AZ$7=AZ6)*(AQ$4:AQ$7=AQ6)*(BB$4:BB$7=BB6)*(BC$4:BC$7=BC6)*(BD$4:BD$7&gt;BD6))</f>
        <v>0</v>
      </c>
      <c r="BK6" s="209" t="str">
        <f>IF(AND(COUNTIF($AF$4:$AF$35,'Group Stages'!G12)&gt;0,COUNTIF($AF$4:$AF$35,'Group Stages'!M12)&gt;0,'Group Stages'!I12&lt;&gt;"",'Group Stages'!K12&lt;&gt;""),'Group Stages'!G12,"")</f>
        <v/>
      </c>
      <c r="BL6" s="209" t="str">
        <f>IF($BK6&lt;&gt;"",'Group Stages'!I12,"")</f>
        <v/>
      </c>
      <c r="BM6" s="209" t="str">
        <f>IF($BK6&lt;&gt;"",'Group Stages'!K12,"")</f>
        <v/>
      </c>
      <c r="BN6" s="209" t="str">
        <f>IF($BK6&lt;&gt;"",'Group Stages'!M12,"")</f>
        <v/>
      </c>
      <c r="BO6" s="209">
        <f t="shared" si="5"/>
        <v>2</v>
      </c>
      <c r="BP6" s="209" t="str">
        <f t="shared" si="34"/>
        <v>Qarabağ FK</v>
      </c>
      <c r="BQ6" s="209">
        <f>VLOOKUP($AD6,$B$4:$W$7,22,FALSE)</f>
        <v>4</v>
      </c>
      <c r="BR6" s="209" t="str">
        <f>IF(AND(BQ6&lt;&gt;BQ5,BQ6=BQ7),AD6,"")</f>
        <v/>
      </c>
      <c r="BS6" s="217">
        <f>SUMPRODUCT(($CW$4:$CW$147='Dummy Table'!$BR6)*($CX$4:$CX$147&gt;$CY$4:$CY$147))</f>
        <v>0</v>
      </c>
      <c r="BT6" s="217">
        <f>SUMPRODUCT(($CW$4:$CW$147='Dummy Table'!$BR6)*($CX$4:$CX$147=$CY$4:$CY$147))</f>
        <v>142</v>
      </c>
      <c r="BU6" s="217">
        <f>SUMPRODUCT(($CW$4:$CW$147='Dummy Table'!$BR6)*($CX$4:$CX$147&lt;$CY$4:$CY$147))</f>
        <v>0</v>
      </c>
      <c r="BV6" s="217">
        <f>SUMIF($CW$4:$CW$147,'Dummy Table'!$BR6,$CX$4:$CX$147)</f>
        <v>0</v>
      </c>
      <c r="BW6" s="217">
        <f>SUMIF($CW$4:$CW$147,'Dummy Table'!$BR6,$CY$4:$CY$147)</f>
        <v>0</v>
      </c>
      <c r="BX6" s="217">
        <f t="shared" si="35"/>
        <v>0</v>
      </c>
      <c r="BY6" s="217" t="str">
        <f t="shared" si="36"/>
        <v/>
      </c>
      <c r="BZ6" s="217">
        <f>SUMPRODUCT(($CZ$4:$CZ$147='Dummy Table'!$BR6)*($CX$4:$CX$147&lt;$CY$4:$CY$147))</f>
        <v>0</v>
      </c>
      <c r="CA6" s="217">
        <f>SUMPRODUCT(($CZ$4:$CZ$147='Dummy Table'!$BR6)*($CX$4:$CX$147=$CY$4:$CY$147))</f>
        <v>142</v>
      </c>
      <c r="CB6" s="217">
        <f>SUMPRODUCT(($CZ$4:$CZ$147='Dummy Table'!$BR6)*($CX$4:$CX$147&gt;$CY$4:$CY$147))</f>
        <v>0</v>
      </c>
      <c r="CC6" s="217">
        <f>SUMIF($CZ$4:$CZ$147,'Dummy Table'!$BR6,$CY$4:$CY$147)</f>
        <v>0</v>
      </c>
      <c r="CD6" s="217">
        <f>SUMIF($CZ$4:$CZ$147,'Dummy Table'!$BR6,$CX$4:$CX$147)</f>
        <v>0</v>
      </c>
      <c r="CE6" s="217">
        <f t="shared" si="37"/>
        <v>0</v>
      </c>
      <c r="CF6" s="217" t="str">
        <f t="shared" si="38"/>
        <v/>
      </c>
      <c r="CG6" s="217">
        <f t="shared" si="39"/>
        <v>0</v>
      </c>
      <c r="CH6" s="217">
        <f t="shared" si="6"/>
        <v>284</v>
      </c>
      <c r="CI6" s="217">
        <f t="shared" si="7"/>
        <v>0</v>
      </c>
      <c r="CJ6" s="217">
        <f t="shared" si="8"/>
        <v>0</v>
      </c>
      <c r="CK6" s="217">
        <f t="shared" si="9"/>
        <v>0</v>
      </c>
      <c r="CL6" s="217">
        <f t="shared" si="10"/>
        <v>0</v>
      </c>
      <c r="CM6" s="217">
        <f t="shared" ref="CM6:CM35" si="45">IF(BR6&lt;&gt;"",BY6+CF6,-1)</f>
        <v>-1</v>
      </c>
      <c r="CN6" s="210">
        <f t="shared" si="40"/>
        <v>84000</v>
      </c>
      <c r="CO6" s="210">
        <f>SUMIF($CZ$4:$CZ$147,'Dummy Table'!$BR6,$CY$4:$CY$147)*2</f>
        <v>0</v>
      </c>
      <c r="CP6" s="210">
        <f>RANK(CM6,CM$4:CM$7)</f>
        <v>1</v>
      </c>
      <c r="CR6" s="210">
        <f>SUMPRODUCT((CM$4:CM$7=CM6)*(CL$4:CL$7&gt;CL6))</f>
        <v>0</v>
      </c>
      <c r="CS6" s="210">
        <f>SUMPRODUCT((CP$4:CP$7=CP6)*(CR$4:CR$7=CR6)*(CO$4:CO$7&gt;CO6))</f>
        <v>0</v>
      </c>
      <c r="CT6" s="210">
        <f>IF($BR6&lt;&gt;"",SUMPRODUCT((CP$4:CP$7=CP6)*(CR$4:CR$7=CR6)*(CS$4:CS$7=CS6)*(V$4:V$7&gt;V6)),0)</f>
        <v>0</v>
      </c>
      <c r="CU6" s="210">
        <f t="shared" si="41"/>
        <v>0</v>
      </c>
      <c r="CV6" s="210">
        <f t="shared" si="42"/>
        <v>0</v>
      </c>
      <c r="CW6" s="209" t="str">
        <f>IF(AND(COUNTIF($BR$4:$BR$35,'Group Stages'!$G12)&gt;0,COUNTIF($BR$4:$BR$35,'Group Stages'!$M12)&gt;0),'Group Stages'!$G12,"")</f>
        <v/>
      </c>
      <c r="CX6" s="209" t="str">
        <f>IF($CW6&lt;&gt;"",'Group Stages'!$I12,"")</f>
        <v/>
      </c>
      <c r="CY6" s="209" t="str">
        <f>IF($CW6&lt;&gt;"",'Group Stages'!$K12,"")</f>
        <v/>
      </c>
      <c r="CZ6" s="209" t="str">
        <f>IF($CW6&lt;&gt;"",'Group Stages'!$M12,"")</f>
        <v/>
      </c>
      <c r="DA6" s="210" t="str">
        <f t="shared" si="11"/>
        <v/>
      </c>
      <c r="DB6" s="209" t="str">
        <f t="shared" si="43"/>
        <v/>
      </c>
      <c r="DC6" s="209">
        <v>3</v>
      </c>
      <c r="DD6" s="209" t="str">
        <f>IF(AF6="",AD6,"")</f>
        <v/>
      </c>
      <c r="DE6" s="209">
        <f>IF(AND(DD6="",DD5="",DD4=""),DC6,IF(AND(DD4&lt;&gt;"",DD5="",DD6=""),2,IF(AND(DD4&lt;&gt;"",DD5&lt;&gt;"",DD6=""),1,"")))</f>
        <v>2</v>
      </c>
      <c r="DF6" s="209" t="str">
        <f>VLOOKUP(DE6,$BO$4:$BP$7,2,FALSE)</f>
        <v>Qarabağ FK</v>
      </c>
      <c r="DG6" s="209">
        <v>3</v>
      </c>
      <c r="DH6" s="209" t="str">
        <f>IF(DB6&lt;&gt;"",IF(DA6&lt;DA7,DB6,DB7),IF(DF6&lt;&gt;"",DF6,DD6))</f>
        <v>Qarabağ FK</v>
      </c>
      <c r="DI6" s="209">
        <v>3</v>
      </c>
    </row>
    <row r="7" spans="1:113">
      <c r="A7" s="209">
        <f t="shared" si="12"/>
        <v>4</v>
      </c>
      <c r="B7" s="209" t="str">
        <f>'Team Setup'!B8</f>
        <v>F91 Dudelange</v>
      </c>
      <c r="C7" s="210">
        <f>SUMPRODUCT(('Group Stages'!$I$10:$I$153&lt;&gt;"")*('Group Stages'!$K$10:$K$153&lt;&gt;"")*('Group Stages'!$G$10:$G$153='Dummy Table'!$B7)*('Group Stages'!$I$10:$I$153&gt;'Group Stages'!$K$10:$K$153))</f>
        <v>0</v>
      </c>
      <c r="D7" s="210">
        <f>SUMPRODUCT(('Group Stages'!$I$10:$I$153&lt;&gt;"")*('Group Stages'!$K$10:$K$153&lt;&gt;"")*('Group Stages'!$G$10:$G$153='Dummy Table'!$B7)*('Group Stages'!$I$10:$I$153='Group Stages'!$K$10:$K$153))</f>
        <v>0</v>
      </c>
      <c r="E7" s="210">
        <f>SUMPRODUCT(('Group Stages'!$I$10:$I$153&lt;&gt;"")*('Group Stages'!$K$10:$K$153&lt;&gt;"")*('Group Stages'!$G$10:$G$153='Dummy Table'!$B7)*('Group Stages'!$I$10:$I$153&lt;'Group Stages'!$K$10:$K$153))</f>
        <v>2</v>
      </c>
      <c r="F7" s="210">
        <f>SUMIF('Group Stages'!$G$10:$G$153,'Dummy Table'!$B7,'Group Stages'!$I$10:$I$153)</f>
        <v>0</v>
      </c>
      <c r="G7" s="210">
        <f>SUMIF('Group Stages'!$G$10:$G$153,'Dummy Table'!$B7,'Group Stages'!$K$10:$K$153)</f>
        <v>0</v>
      </c>
      <c r="H7" s="210">
        <f t="shared" si="13"/>
        <v>0</v>
      </c>
      <c r="I7" s="210">
        <f t="shared" si="14"/>
        <v>0</v>
      </c>
      <c r="J7" s="209">
        <f>SUMPRODUCT(('Group Stages'!$I$10:$I$153&lt;&gt;"")*('Group Stages'!$K$10:$K$153&lt;&gt;"")*('Group Stages'!$M$10:$M$153='Dummy Table'!$B7)*('Group Stages'!$I$10:$I$153&lt;'Group Stages'!$K$10:$K$153))</f>
        <v>1</v>
      </c>
      <c r="K7" s="209">
        <f>SUMPRODUCT(('Group Stages'!$I$10:$I$153&lt;&gt;"")*('Group Stages'!$K$10:$K$153&lt;&gt;"")*('Group Stages'!$M$10:$M$153='Dummy Table'!$B7)*('Group Stages'!$I$10:$I$153='Group Stages'!$K$10:$K$153))</f>
        <v>0</v>
      </c>
      <c r="L7" s="209">
        <f>SUMPRODUCT(('Group Stages'!$I$10:$I$153&lt;&gt;"")*('Group Stages'!$K$10:$K$153&lt;&gt;"")*('Group Stages'!$M$10:$M$153='Dummy Table'!$B7)*('Group Stages'!$I$10:$I$153&gt;'Group Stages'!$K$10:$K$153))</f>
        <v>1</v>
      </c>
      <c r="M7" s="209">
        <f>SUMIF('Group Stages'!$M$10:$M$153,'Dummy Table'!$B7,'Group Stages'!$K$10:$K$153)</f>
        <v>0</v>
      </c>
      <c r="N7" s="209">
        <f>SUMIF('Group Stages'!$M$10:$M$153,'Dummy Table'!$B7,'Group Stages'!$I$10:$I$153)</f>
        <v>0</v>
      </c>
      <c r="O7" s="209">
        <f t="shared" si="15"/>
        <v>0</v>
      </c>
      <c r="P7" s="209">
        <f t="shared" si="16"/>
        <v>3</v>
      </c>
      <c r="Q7" s="209">
        <f t="shared" si="17"/>
        <v>1</v>
      </c>
      <c r="R7" s="209">
        <f t="shared" si="18"/>
        <v>0</v>
      </c>
      <c r="S7" s="209">
        <f t="shared" si="19"/>
        <v>3</v>
      </c>
      <c r="T7" s="209">
        <f t="shared" si="20"/>
        <v>0</v>
      </c>
      <c r="U7" s="209">
        <f t="shared" si="21"/>
        <v>0</v>
      </c>
      <c r="V7" s="209">
        <f t="shared" si="22"/>
        <v>0</v>
      </c>
      <c r="W7" s="209">
        <f t="shared" si="23"/>
        <v>3</v>
      </c>
      <c r="X7" s="210">
        <f>IF('Team Setup'!F8&lt;&gt;"",'Team Setup'!F8,DI7)</f>
        <v>7250</v>
      </c>
      <c r="Y7" s="210">
        <f>RANK(W7,W$4:W$7)</f>
        <v>4</v>
      </c>
      <c r="Z7" s="210">
        <f>SUMPRODUCT((W$4:W$7=W7)*(V$4:V$7&gt;V7))</f>
        <v>0</v>
      </c>
      <c r="AA7" s="210">
        <f>SUMPRODUCT((Y$4:Y$7=Y7)*(Z$4:Z$7=Z7)*(T$4:T$7&gt;T7))</f>
        <v>0</v>
      </c>
      <c r="AB7" s="210">
        <f>SUMPRODUCT((Y$4:Y$7=Y7)*(Z$4:Z$7=Z7)*(T$4:T$7=T7)*(X$4:X$7&gt;X7))</f>
        <v>0</v>
      </c>
      <c r="AC7" s="209">
        <v>4</v>
      </c>
      <c r="AD7" s="209" t="str">
        <f>VLOOKUP(AC7,$A$4:$B$7,2,FALSE)</f>
        <v>F91 Dudelange</v>
      </c>
      <c r="AE7" s="209">
        <f>VLOOKUP($AD7,$B$4:$W$7,22,FALSE)</f>
        <v>3</v>
      </c>
      <c r="AF7" s="209" t="str">
        <f>IF(AND(AE7=AE6,AE6=AE5),AD7,"")</f>
        <v/>
      </c>
      <c r="AG7" s="210">
        <f>SUMPRODUCT(($BK$4:$BK$147='Dummy Table'!$AF7)*($BL$4:$BL$147&gt;$BM$4:$BM$147))</f>
        <v>0</v>
      </c>
      <c r="AH7" s="210">
        <f>SUMPRODUCT(($BK$4:$BK$147='Dummy Table'!$AF7)*($BL$4:$BL$147=$BM$4:$BM$147))</f>
        <v>134</v>
      </c>
      <c r="AI7" s="210">
        <f>SUMPRODUCT(($BK$4:$BK$147='Dummy Table'!$AF7)*($BL$4:$BL$147&lt;$BM$4:$BM$147))</f>
        <v>0</v>
      </c>
      <c r="AJ7" s="210">
        <f>SUMIF($BK$4:$BK$147,'Dummy Table'!$AF7,$BL$4:$BL$147)</f>
        <v>0</v>
      </c>
      <c r="AK7" s="210">
        <f>SUMIF($BK$4:$BK$147,'Dummy Table'!$AF7,$BM$4:$BM$147)</f>
        <v>0</v>
      </c>
      <c r="AL7" s="210">
        <f t="shared" si="24"/>
        <v>0</v>
      </c>
      <c r="AM7" s="210" t="str">
        <f t="shared" si="25"/>
        <v/>
      </c>
      <c r="AN7" s="210">
        <f>SUMPRODUCT(($BN$4:$BN$147='Dummy Table'!$AF7)*($BL$4:$BL$147&lt;$BM$4:$BM$147))</f>
        <v>0</v>
      </c>
      <c r="AO7" s="210">
        <f>SUMPRODUCT(($BN$4:$BN$147='Dummy Table'!$AF7)*($BL$4:$BL$147=$BM$4:$BM$147))</f>
        <v>134</v>
      </c>
      <c r="AP7" s="210">
        <f>SUMPRODUCT(($BN$4:$BN$147='Dummy Table'!$AF7)*($BL$4:$BL$147&gt;$BM$4:$BM$147))</f>
        <v>0</v>
      </c>
      <c r="AQ7" s="210">
        <f>SUMIF($BN$4:$BN$147,'Dummy Table'!$AF7,$BM$4:$BM$147)</f>
        <v>0</v>
      </c>
      <c r="AR7" s="210">
        <f>SUMIF($BN$4:$BN$147,'Dummy Table'!$AF7,$BL$4:$BL$147)</f>
        <v>0</v>
      </c>
      <c r="AS7" s="210">
        <f t="shared" si="26"/>
        <v>0</v>
      </c>
      <c r="AT7" s="210" t="str">
        <f t="shared" si="27"/>
        <v/>
      </c>
      <c r="AU7" s="210">
        <f t="shared" si="28"/>
        <v>0</v>
      </c>
      <c r="AV7" s="210">
        <f t="shared" si="29"/>
        <v>268</v>
      </c>
      <c r="AW7" s="210">
        <f t="shared" si="30"/>
        <v>0</v>
      </c>
      <c r="AX7" s="210">
        <f t="shared" si="31"/>
        <v>0</v>
      </c>
      <c r="AY7" s="210">
        <f t="shared" si="32"/>
        <v>0</v>
      </c>
      <c r="AZ7" s="210">
        <f t="shared" si="33"/>
        <v>0</v>
      </c>
      <c r="BA7" s="210">
        <f t="shared" si="44"/>
        <v>-1</v>
      </c>
      <c r="BB7" s="209" t="str">
        <f t="shared" si="2"/>
        <v/>
      </c>
      <c r="BC7" s="209" t="str">
        <f t="shared" si="3"/>
        <v/>
      </c>
      <c r="BD7" s="209" t="str">
        <f t="shared" si="4"/>
        <v/>
      </c>
      <c r="BE7" s="209">
        <f>RANK(BA7,BA$4:BA$7)</f>
        <v>3</v>
      </c>
      <c r="BF7" s="209">
        <f>SUMPRODUCT((BA$4:BA$7=BA7)*(AZ$4:AZ$7&gt;AZ7))</f>
        <v>0</v>
      </c>
      <c r="BG7" s="209">
        <f>SUMPRODUCT((BA$4:BA$7=BA7)*(BE$4:BE$7=BE7)*(AZ$4:AZ$7=AZ7)*(AQ$4:AQ$7&gt;AQ7))</f>
        <v>0</v>
      </c>
      <c r="BH7" s="209">
        <f>SUMPRODUCT((BA$4:BA$7=BA7)*(BE$4:BE$7=BE7)*(AZ$4:AZ$7=AZ7)*(AQ$4:AQ$7=AQ7)*(BB$4:BB$7&gt;BB7))</f>
        <v>0</v>
      </c>
      <c r="BI7" s="209">
        <f>SUMPRODUCT((BA$4:BA$7=BA7)*(BE$4:BE$7=BE7)*(AZ$4:AZ$7=AZ7)*(AQ$4:AQ$7=AQ7)*(BB$4:BB$7=BB7)*(BC$4:BC$7&gt;BC7))</f>
        <v>0</v>
      </c>
      <c r="BJ7" s="209">
        <f>SUMPRODUCT((BA$4:BA$7=BA7)*(BE$4:BE$7=BE7)*(AZ$4:AZ$7=AZ7)*(AQ$4:AQ$7=AQ7)*(BB$4:BB$7=BB7)*(BC$4:BC$7=BC7)*(BD$4:BD$7&gt;BD7))</f>
        <v>0</v>
      </c>
      <c r="BK7" s="209" t="str">
        <f>IF(AND(COUNTIF($AF$4:$AF$35,'Group Stages'!G13)&gt;0,COUNTIF($AF$4:$AF$35,'Group Stages'!M13)&gt;0,'Group Stages'!I13&lt;&gt;"",'Group Stages'!K13&lt;&gt;""),'Group Stages'!G13,"")</f>
        <v/>
      </c>
      <c r="BL7" s="209" t="str">
        <f>IF($BK7&lt;&gt;"",'Group Stages'!I13,"")</f>
        <v/>
      </c>
      <c r="BM7" s="209" t="str">
        <f>IF($BK7&lt;&gt;"",'Group Stages'!K13,"")</f>
        <v/>
      </c>
      <c r="BN7" s="209" t="str">
        <f>IF($BK7&lt;&gt;"",'Group Stages'!M13,"")</f>
        <v/>
      </c>
      <c r="BO7" s="209" t="str">
        <f t="shared" si="5"/>
        <v/>
      </c>
      <c r="BP7" s="209" t="str">
        <f t="shared" si="34"/>
        <v/>
      </c>
      <c r="BQ7" s="209">
        <f>VLOOKUP($AD7,$B$4:$W$7,22,FALSE)</f>
        <v>3</v>
      </c>
      <c r="BR7" s="209" t="str">
        <f>IF(BR6&lt;&gt;"",AD7,"")</f>
        <v/>
      </c>
      <c r="BS7" s="217">
        <f>SUMPRODUCT(($CW$4:$CW$147='Dummy Table'!$BR7)*($CX$4:$CX$147&gt;$CY$4:$CY$147))</f>
        <v>0</v>
      </c>
      <c r="BT7" s="217">
        <f>SUMPRODUCT(($CW$4:$CW$147='Dummy Table'!$BR7)*($CX$4:$CX$147=$CY$4:$CY$147))</f>
        <v>142</v>
      </c>
      <c r="BU7" s="217">
        <f>SUMPRODUCT(($CW$4:$CW$147='Dummy Table'!$BR7)*($CX$4:$CX$147&lt;$CY$4:$CY$147))</f>
        <v>0</v>
      </c>
      <c r="BV7" s="217">
        <f>SUMIF($CW$4:$CW$147,'Dummy Table'!$BR7,$CX$4:$CX$147)</f>
        <v>0</v>
      </c>
      <c r="BW7" s="217">
        <f>SUMIF($CW$4:$CW$147,'Dummy Table'!$BR7,$CY$4:$CY$147)</f>
        <v>0</v>
      </c>
      <c r="BX7" s="217">
        <f t="shared" si="35"/>
        <v>0</v>
      </c>
      <c r="BY7" s="217" t="str">
        <f t="shared" si="36"/>
        <v/>
      </c>
      <c r="BZ7" s="217">
        <f>SUMPRODUCT(($CZ$4:$CZ$147='Dummy Table'!$BR7)*($CX$4:$CX$147&lt;$CY$4:$CY$147))</f>
        <v>0</v>
      </c>
      <c r="CA7" s="217">
        <f>SUMPRODUCT(($CZ$4:$CZ$147='Dummy Table'!$BR7)*($CX$4:$CX$147=$CY$4:$CY$147))</f>
        <v>142</v>
      </c>
      <c r="CB7" s="217">
        <f>SUMPRODUCT(($CZ$4:$CZ$147='Dummy Table'!$BR7)*($CX$4:$CX$147&gt;$CY$4:$CY$147))</f>
        <v>0</v>
      </c>
      <c r="CC7" s="217">
        <f>SUMIF($CZ$4:$CZ$147,'Dummy Table'!$BR7,$CY$4:$CY$147)</f>
        <v>0</v>
      </c>
      <c r="CD7" s="217">
        <f>SUMIF($CZ$4:$CZ$147,'Dummy Table'!$BR7,$CX$4:$CX$147)</f>
        <v>0</v>
      </c>
      <c r="CE7" s="217">
        <f t="shared" si="37"/>
        <v>0</v>
      </c>
      <c r="CF7" s="217" t="str">
        <f t="shared" si="38"/>
        <v/>
      </c>
      <c r="CG7" s="217">
        <f t="shared" si="39"/>
        <v>0</v>
      </c>
      <c r="CH7" s="217">
        <f t="shared" si="6"/>
        <v>284</v>
      </c>
      <c r="CI7" s="217">
        <f t="shared" si="7"/>
        <v>0</v>
      </c>
      <c r="CJ7" s="217">
        <f t="shared" si="8"/>
        <v>0</v>
      </c>
      <c r="CK7" s="217">
        <f t="shared" si="9"/>
        <v>0</v>
      </c>
      <c r="CL7" s="217">
        <f t="shared" si="10"/>
        <v>0</v>
      </c>
      <c r="CM7" s="217">
        <f t="shared" si="45"/>
        <v>-1</v>
      </c>
      <c r="CN7" s="210">
        <f t="shared" si="40"/>
        <v>7250</v>
      </c>
      <c r="CO7" s="210">
        <f>SUMIF($CZ$4:$CZ$147,'Dummy Table'!$BR7,$CY$4:$CY$147)*2</f>
        <v>0</v>
      </c>
      <c r="CP7" s="210">
        <f>RANK(CM7,CM$4:CM$7)</f>
        <v>1</v>
      </c>
      <c r="CR7" s="210">
        <f>SUMPRODUCT((CM$4:CM$7=CM7)*(CL$4:CL$7&gt;CL7))</f>
        <v>0</v>
      </c>
      <c r="CS7" s="210">
        <f>SUMPRODUCT((CP$4:CP$7=CP7)*(CR$4:CR$7=CR7)*(CO$4:CO$7&gt;CO7))</f>
        <v>0</v>
      </c>
      <c r="CT7" s="210">
        <f>IF($BR7&lt;&gt;"",SUMPRODUCT((CP$4:CP$7=CP7)*(CR$4:CR$7=CR7)*(CS$4:CS$7=CS7)*(V$4:V$7&gt;V7)),0)</f>
        <v>0</v>
      </c>
      <c r="CU7" s="210">
        <f t="shared" si="41"/>
        <v>0</v>
      </c>
      <c r="CV7" s="210">
        <f t="shared" si="42"/>
        <v>3</v>
      </c>
      <c r="CW7" s="209" t="str">
        <f>IF(AND(COUNTIF($BR$4:$BR$35,'Group Stages'!$G13)&gt;0,COUNTIF($BR$4:$BR$35,'Group Stages'!$M13)&gt;0),'Group Stages'!$G13,"")</f>
        <v/>
      </c>
      <c r="CX7" s="209" t="str">
        <f>IF($CW7&lt;&gt;"",'Group Stages'!$I13,"")</f>
        <v/>
      </c>
      <c r="CY7" s="209" t="str">
        <f>IF($CW7&lt;&gt;"",'Group Stages'!$K13,"")</f>
        <v/>
      </c>
      <c r="CZ7" s="209" t="str">
        <f>IF($CW7&lt;&gt;"",'Group Stages'!$M13,"")</f>
        <v/>
      </c>
      <c r="DA7" s="210" t="str">
        <f t="shared" si="11"/>
        <v/>
      </c>
      <c r="DB7" s="209" t="str">
        <f t="shared" si="43"/>
        <v/>
      </c>
      <c r="DC7" s="209">
        <v>4</v>
      </c>
      <c r="DD7" s="209" t="str">
        <f>IF(AF7="",AD7,"")</f>
        <v>F91 Dudelange</v>
      </c>
      <c r="DE7" s="209" t="str">
        <f>IF(AND(DD7="",DD6="",DD5="",DD4=""),4,IF(AND(DD7="",DD6="",DD5=""),3,IF(AND(DD5&lt;&gt;"",DD6="",DD7=""),2,IF(AND(DD5&lt;&gt;"",DD6&lt;&gt;"",DD7=""),1,""))))</f>
        <v/>
      </c>
      <c r="DF7" s="209" t="str">
        <f>VLOOKUP(DE7,$BO$4:$BP$7,2,FALSE)</f>
        <v/>
      </c>
      <c r="DG7" s="209">
        <v>4</v>
      </c>
      <c r="DH7" s="209" t="str">
        <f>IF(DB7&lt;&gt;"",IF(DA6&lt;DA7,DB7,DB6),IF(DF7&lt;&gt;"",DF7,DD7))</f>
        <v>F91 Dudelange</v>
      </c>
      <c r="DI7" s="209">
        <v>4</v>
      </c>
    </row>
    <row r="8" spans="1:113">
      <c r="A8" s="209">
        <f t="shared" si="12"/>
        <v>1</v>
      </c>
      <c r="B8" s="209" t="str">
        <f>'Team Setup'!B9</f>
        <v>Dinamo Kiev</v>
      </c>
      <c r="C8" s="210">
        <f>SUMPRODUCT(('Group Stages'!$I$10:$I$153&lt;&gt;"")*('Group Stages'!$K$10:$K$153&lt;&gt;"")*('Group Stages'!$G$10:$G$153='Dummy Table'!$B8)*('Group Stages'!$I$10:$I$153&gt;'Group Stages'!$K$10:$K$153))</f>
        <v>1</v>
      </c>
      <c r="D8" s="210">
        <f>SUMPRODUCT(('Group Stages'!$I$10:$I$153&lt;&gt;"")*('Group Stages'!$K$10:$K$153&lt;&gt;"")*('Group Stages'!$G$10:$G$153='Dummy Table'!$B8)*('Group Stages'!$I$10:$I$153='Group Stages'!$K$10:$K$153))</f>
        <v>1</v>
      </c>
      <c r="E8" s="210">
        <f>SUMPRODUCT(('Group Stages'!$I$10:$I$153&lt;&gt;"")*('Group Stages'!$K$10:$K$153&lt;&gt;"")*('Group Stages'!$G$10:$G$153='Dummy Table'!$B8)*('Group Stages'!$I$10:$I$153&lt;'Group Stages'!$K$10:$K$153))</f>
        <v>0</v>
      </c>
      <c r="F8" s="210">
        <f>SUMIF('Group Stages'!$G$10:$G$153,'Dummy Table'!$B8,'Group Stages'!$I$10:$I$153)</f>
        <v>0</v>
      </c>
      <c r="G8" s="210">
        <f>SUMIF('Group Stages'!$G$10:$G$153,'Dummy Table'!$B8,'Group Stages'!$K$10:$K$153)</f>
        <v>0</v>
      </c>
      <c r="H8" s="210">
        <f t="shared" si="13"/>
        <v>0</v>
      </c>
      <c r="I8" s="210">
        <f t="shared" si="14"/>
        <v>4</v>
      </c>
      <c r="J8" s="209">
        <f>SUMPRODUCT(('Group Stages'!$I$10:$I$153&lt;&gt;"")*('Group Stages'!$K$10:$K$153&lt;&gt;"")*('Group Stages'!$M$10:$M$153='Dummy Table'!$B8)*('Group Stages'!$I$10:$I$153&lt;'Group Stages'!$K$10:$K$153))</f>
        <v>0</v>
      </c>
      <c r="K8" s="209">
        <f>SUMPRODUCT(('Group Stages'!$I$10:$I$153&lt;&gt;"")*('Group Stages'!$K$10:$K$153&lt;&gt;"")*('Group Stages'!$M$10:$M$153='Dummy Table'!$B8)*('Group Stages'!$I$10:$I$153='Group Stages'!$K$10:$K$153))</f>
        <v>2</v>
      </c>
      <c r="L8" s="209">
        <f>SUMPRODUCT(('Group Stages'!$I$10:$I$153&lt;&gt;"")*('Group Stages'!$K$10:$K$153&lt;&gt;"")*('Group Stages'!$M$10:$M$153='Dummy Table'!$B8)*('Group Stages'!$I$10:$I$153&gt;'Group Stages'!$K$10:$K$153))</f>
        <v>0</v>
      </c>
      <c r="M8" s="209">
        <f>SUMIF('Group Stages'!$M$10:$M$153,'Dummy Table'!$B8,'Group Stages'!$K$10:$K$153)</f>
        <v>0</v>
      </c>
      <c r="N8" s="209">
        <f>SUMIF('Group Stages'!$M$10:$M$153,'Dummy Table'!$B8,'Group Stages'!$I$10:$I$153)</f>
        <v>0</v>
      </c>
      <c r="O8" s="209">
        <f t="shared" si="15"/>
        <v>0</v>
      </c>
      <c r="P8" s="209">
        <f t="shared" si="16"/>
        <v>2</v>
      </c>
      <c r="Q8" s="209">
        <f t="shared" si="17"/>
        <v>1</v>
      </c>
      <c r="R8" s="209">
        <f t="shared" si="18"/>
        <v>3</v>
      </c>
      <c r="S8" s="209">
        <f t="shared" si="19"/>
        <v>0</v>
      </c>
      <c r="T8" s="209">
        <f t="shared" si="20"/>
        <v>0</v>
      </c>
      <c r="U8" s="209">
        <f t="shared" si="21"/>
        <v>0</v>
      </c>
      <c r="V8" s="209">
        <f t="shared" si="22"/>
        <v>0</v>
      </c>
      <c r="W8" s="209">
        <f t="shared" si="23"/>
        <v>6</v>
      </c>
      <c r="X8" s="210">
        <f>IF('Team Setup'!F9&lt;&gt;"",'Team Setup'!F9,DI8)</f>
        <v>54000</v>
      </c>
      <c r="Y8" s="210">
        <f>RANK(W8,W$8:W$11)</f>
        <v>1</v>
      </c>
      <c r="Z8" s="210">
        <f>SUMPRODUCT((W$8:W$11=W8)*(V$8:V$11&gt;V8))</f>
        <v>0</v>
      </c>
      <c r="AA8" s="210">
        <f>SUMPRODUCT((Y$8:Y$11=Y8)*(Z$8:Z$11=Z8)*(T$8:T$11&gt;T8))</f>
        <v>0</v>
      </c>
      <c r="AB8" s="210">
        <f>SUMPRODUCT((Y$8:Y$11=Y8)*(Z$8:Z$11=Z8)*(T$8:T$11=T8)*(X$8:X$11&gt;X8))</f>
        <v>0</v>
      </c>
      <c r="AC8" s="209">
        <v>1</v>
      </c>
      <c r="AD8" s="209" t="str">
        <f>VLOOKUP(AC8,$A$8:$B$11,2,FALSE)</f>
        <v>Dinamo Kiev</v>
      </c>
      <c r="AE8" s="209">
        <f>VLOOKUP($AD8,$B$8:$W$11,22,FALSE)</f>
        <v>6</v>
      </c>
      <c r="AF8" s="209" t="str">
        <f t="shared" ref="AF8" si="46">IF(AE8=AE9,AD8,"")</f>
        <v>Dinamo Kiev</v>
      </c>
      <c r="AG8" s="210">
        <f>SUMPRODUCT(($BK$4:$BK$147='Dummy Table'!$AF8)*($BL$4:$BL$147&gt;$BM$4:$BM$147))</f>
        <v>0</v>
      </c>
      <c r="AH8" s="210">
        <f>SUMPRODUCT(($BK$4:$BK$147='Dummy Table'!$AF8)*($BL$4:$BL$147=$BM$4:$BM$147))</f>
        <v>1</v>
      </c>
      <c r="AI8" s="210">
        <f>SUMPRODUCT(($BK$4:$BK$147='Dummy Table'!$AF8)*($BL$4:$BL$147&lt;$BM$4:$BM$147))</f>
        <v>0</v>
      </c>
      <c r="AJ8" s="210">
        <f>SUMIF($BK$4:$BK$147,'Dummy Table'!$AF8,$BL$4:$BL$147)</f>
        <v>0</v>
      </c>
      <c r="AK8" s="210">
        <f>SUMIF($BK$4:$BK$147,'Dummy Table'!$AF8,$BM$4:$BM$147)</f>
        <v>0</v>
      </c>
      <c r="AL8" s="210">
        <f t="shared" si="24"/>
        <v>0</v>
      </c>
      <c r="AM8" s="210">
        <f t="shared" si="25"/>
        <v>1</v>
      </c>
      <c r="AN8" s="210">
        <f>SUMPRODUCT(($BN$4:$BN$147='Dummy Table'!$AF8)*($BL$4:$BL$147&lt;$BM$4:$BM$147))</f>
        <v>0</v>
      </c>
      <c r="AO8" s="210">
        <f>SUMPRODUCT(($BN$4:$BN$147='Dummy Table'!$AF8)*($BL$4:$BL$147=$BM$4:$BM$147))</f>
        <v>1</v>
      </c>
      <c r="AP8" s="210">
        <f>SUMPRODUCT(($BN$4:$BN$147='Dummy Table'!$AF8)*($BL$4:$BL$147&gt;$BM$4:$BM$147))</f>
        <v>0</v>
      </c>
      <c r="AQ8" s="210">
        <f>SUMIF($BN$4:$BN$147,'Dummy Table'!$AF8,$BM$4:$BM$147)</f>
        <v>0</v>
      </c>
      <c r="AR8" s="210">
        <f>SUMIF($BN$4:$BN$147,'Dummy Table'!$AF8,$BL$4:$BL$147)</f>
        <v>0</v>
      </c>
      <c r="AS8" s="210">
        <f t="shared" si="26"/>
        <v>0</v>
      </c>
      <c r="AT8" s="210">
        <f t="shared" si="27"/>
        <v>1</v>
      </c>
      <c r="AU8" s="210">
        <f t="shared" si="28"/>
        <v>0</v>
      </c>
      <c r="AV8" s="210">
        <f t="shared" si="29"/>
        <v>2</v>
      </c>
      <c r="AW8" s="210">
        <f t="shared" si="30"/>
        <v>0</v>
      </c>
      <c r="AX8" s="210">
        <f t="shared" si="31"/>
        <v>0</v>
      </c>
      <c r="AY8" s="210">
        <f t="shared" si="32"/>
        <v>0</v>
      </c>
      <c r="AZ8" s="210">
        <f t="shared" si="33"/>
        <v>0</v>
      </c>
      <c r="BA8" s="210">
        <f t="shared" si="44"/>
        <v>2</v>
      </c>
      <c r="BB8" s="209">
        <f t="shared" si="2"/>
        <v>0</v>
      </c>
      <c r="BC8" s="209">
        <f t="shared" si="3"/>
        <v>0</v>
      </c>
      <c r="BD8" s="209">
        <f t="shared" si="4"/>
        <v>54000</v>
      </c>
      <c r="BE8" s="209">
        <f>RANK(BA8,BA$8:BA$11)</f>
        <v>1</v>
      </c>
      <c r="BF8" s="209">
        <f>SUMPRODUCT((BA$8:BA$11=BA8)*(AZ$8:AZ$11&gt;AZ8))</f>
        <v>0</v>
      </c>
      <c r="BG8" s="209">
        <f>SUMPRODUCT((BA$8:BA$11=BA8)*(BE$8:BE$11=BE8)*(AZ$8:AZ$11=AZ8)*(AQ$8:AQ$11&gt;AQ8))</f>
        <v>0</v>
      </c>
      <c r="BH8" s="209">
        <f>SUMPRODUCT((BA$8:BA$11=BA8)*(BE$8:BE$11=BE8)*(AZ$8:AZ$11=AZ8)*(AQ$8:AQ$11=AQ8)*(BB$8:BB$11&gt;BB8))</f>
        <v>0</v>
      </c>
      <c r="BI8" s="209">
        <f>SUMPRODUCT((BA$8:BA$11=BA8)*(BE$8:BE$11=BE8)*(AZ$8:AZ$11=AZ8)*(AQ$8:AQ$11=AQ8)*(BB$8:BB$11=BB8)*(BC$8:BC$11&gt;BC8))</f>
        <v>0</v>
      </c>
      <c r="BJ8" s="209">
        <f>SUMPRODUCT((BA$8:BA$11=BA8)*(BE$8:BE$11=BE8)*(AZ$8:AZ$11=AZ8)*(AQ$8:AQ$11=AQ8)*(BB$8:BB$11=BB8)*(BC$8:BC$11=BC8)*(BD$8:BD$11&gt;BD8))</f>
        <v>0</v>
      </c>
      <c r="BK8" s="209" t="str">
        <f>IF(AND(COUNTIF($AF$4:$AF$35,'Group Stages'!G14)&gt;0,COUNTIF($AF$4:$AF$35,'Group Stages'!M14)&gt;0,'Group Stages'!I14&lt;&gt;"",'Group Stages'!K14&lt;&gt;""),'Group Stages'!G14,"")</f>
        <v/>
      </c>
      <c r="BL8" s="209" t="str">
        <f>IF($BK8&lt;&gt;"",'Group Stages'!I14,"")</f>
        <v/>
      </c>
      <c r="BM8" s="209" t="str">
        <f>IF($BK8&lt;&gt;"",'Group Stages'!K14,"")</f>
        <v/>
      </c>
      <c r="BN8" s="209" t="str">
        <f>IF($BK8&lt;&gt;"",'Group Stages'!M14,"")</f>
        <v/>
      </c>
      <c r="BO8" s="209">
        <f t="shared" si="5"/>
        <v>1</v>
      </c>
      <c r="BP8" s="209" t="str">
        <f t="shared" si="34"/>
        <v>Dinamo Kiev</v>
      </c>
      <c r="BQ8" s="209">
        <f>VLOOKUP($AD8,$B$8:$W$11,22,FALSE)</f>
        <v>6</v>
      </c>
      <c r="BS8" s="217">
        <f>SUMPRODUCT(($CW$4:$CW$147='Dummy Table'!$BR8)*($CX$4:$CX$147&gt;$CY$4:$CY$147))</f>
        <v>0</v>
      </c>
      <c r="BT8" s="217">
        <f>SUMPRODUCT(($CW$4:$CW$147='Dummy Table'!$BR8)*($CX$4:$CX$147=$CY$4:$CY$147))</f>
        <v>142</v>
      </c>
      <c r="BU8" s="217">
        <f>SUMPRODUCT(($CW$4:$CW$147='Dummy Table'!$BR8)*($CX$4:$CX$147&lt;$CY$4:$CY$147))</f>
        <v>0</v>
      </c>
      <c r="BV8" s="217">
        <f>SUMIF($CW$4:$CW$147,'Dummy Table'!$BR8,$CX$4:$CX$147)</f>
        <v>0</v>
      </c>
      <c r="BW8" s="217">
        <f>SUMIF($CW$4:$CW$147,'Dummy Table'!$BR8,$CY$4:$CY$147)</f>
        <v>0</v>
      </c>
      <c r="BX8" s="217">
        <f t="shared" si="35"/>
        <v>0</v>
      </c>
      <c r="BY8" s="217" t="str">
        <f t="shared" si="36"/>
        <v/>
      </c>
      <c r="BZ8" s="217">
        <f>SUMPRODUCT(($CZ$4:$CZ$147='Dummy Table'!$BR8)*($CX$4:$CX$147&lt;$CY$4:$CY$147))</f>
        <v>0</v>
      </c>
      <c r="CA8" s="217">
        <f>SUMPRODUCT(($CZ$4:$CZ$147='Dummy Table'!$BR8)*($CX$4:$CX$147=$CY$4:$CY$147))</f>
        <v>142</v>
      </c>
      <c r="CB8" s="217">
        <f>SUMPRODUCT(($CZ$4:$CZ$147='Dummy Table'!$BR8)*($CX$4:$CX$147&gt;$CY$4:$CY$147))</f>
        <v>0</v>
      </c>
      <c r="CC8" s="217">
        <f>SUMIF($CZ$4:$CZ$147,'Dummy Table'!$BR8,$CY$4:$CY$147)</f>
        <v>0</v>
      </c>
      <c r="CD8" s="217">
        <f>SUMIF($CZ$4:$CZ$147,'Dummy Table'!$BR8,$CX$4:$CX$147)</f>
        <v>0</v>
      </c>
      <c r="CE8" s="217">
        <f t="shared" si="37"/>
        <v>0</v>
      </c>
      <c r="CF8" s="217" t="str">
        <f t="shared" si="38"/>
        <v/>
      </c>
      <c r="CG8" s="217">
        <f t="shared" si="39"/>
        <v>0</v>
      </c>
      <c r="CH8" s="217">
        <f t="shared" si="6"/>
        <v>284</v>
      </c>
      <c r="CI8" s="217">
        <f t="shared" si="7"/>
        <v>0</v>
      </c>
      <c r="CJ8" s="217">
        <f t="shared" si="8"/>
        <v>0</v>
      </c>
      <c r="CK8" s="217">
        <f t="shared" si="9"/>
        <v>0</v>
      </c>
      <c r="CL8" s="217">
        <f t="shared" si="10"/>
        <v>0</v>
      </c>
      <c r="CM8" s="217">
        <f t="shared" si="45"/>
        <v>-1</v>
      </c>
      <c r="CN8" s="210">
        <f t="shared" si="40"/>
        <v>54000</v>
      </c>
      <c r="CO8" s="210">
        <f>SUMIF($CZ$4:$CZ$147,'Dummy Table'!$BR8,$CY$4:$CY$147)*2</f>
        <v>0</v>
      </c>
      <c r="CP8" s="210">
        <f>RANK(CM8,CM$8:CM$11)</f>
        <v>1</v>
      </c>
      <c r="CR8" s="210">
        <f>SUMPRODUCT((CM$8:CM$11=CM8)*(CL$8:CL$11&gt;CL8))</f>
        <v>0</v>
      </c>
      <c r="CS8" s="210">
        <f>SUMPRODUCT((CP$8:CP$11=CP8)*(CR$8:CR$11=CR8)*(CO$8:CO$11&gt;CO8))</f>
        <v>0</v>
      </c>
      <c r="CT8" s="210">
        <f>IF(BR8&lt;&gt;"",SUMPRODUCT((CP$8:CP$11=CP8)*(CR$8:CR$11=CR8)*(CS$8:CS$11=CS8)*(V$8:V$11&gt;V8)),0)</f>
        <v>0</v>
      </c>
      <c r="CU8" s="210">
        <f>IF($BR8&lt;&gt;"",SUMPRODUCT((CP$8:CP$11=CP8)*(CR$8:CR$11=CR8)*(CS$8:CS$11=CS8)*(CT$8:CT$11=CT8)*(T$8:T$11&gt;T8)),0)</f>
        <v>0</v>
      </c>
      <c r="CV8" s="210">
        <f>SUMPRODUCT((CP$8:CP$11=CP8)*(CR$8:CR$11=CR8)*(CS$8:CS$11=CS8)*(CT$8:CT$11=CT8)*(CU$8:CU$11=CU8)*(CN$8:CN$11&gt;CN8))</f>
        <v>0</v>
      </c>
      <c r="CW8" s="209" t="str">
        <f>IF(AND(COUNTIF($BR$4:$BR$35,'Group Stages'!$G14)&gt;0,COUNTIF($BR$4:$BR$35,'Group Stages'!$M14)&gt;0),'Group Stages'!$G14,"")</f>
        <v/>
      </c>
      <c r="CX8" s="209" t="str">
        <f>IF($CW8&lt;&gt;"",'Group Stages'!$I14,"")</f>
        <v/>
      </c>
      <c r="CY8" s="209" t="str">
        <f>IF($CW8&lt;&gt;"",'Group Stages'!$K14,"")</f>
        <v/>
      </c>
      <c r="CZ8" s="209" t="str">
        <f>IF($CW8&lt;&gt;"",'Group Stages'!$M14,"")</f>
        <v/>
      </c>
      <c r="DA8" s="210" t="str">
        <f t="shared" si="11"/>
        <v/>
      </c>
      <c r="DB8" s="209" t="str">
        <f t="shared" si="43"/>
        <v/>
      </c>
      <c r="DC8" s="209">
        <v>1</v>
      </c>
      <c r="DD8" s="209" t="str">
        <f t="shared" ref="DD8:DD35" si="47">IF(AF8="",AD8,"")</f>
        <v/>
      </c>
      <c r="DE8" s="209">
        <f>IF(DD8="",DC8,"")</f>
        <v>1</v>
      </c>
      <c r="DF8" s="209" t="str">
        <f>VLOOKUP(DE8,$BO$8:$BP$11,2,FALSE)</f>
        <v>Dinamo Kiev</v>
      </c>
      <c r="DG8" s="209">
        <v>1</v>
      </c>
      <c r="DH8" s="209" t="str">
        <f t="shared" ref="DH8:DH9" si="48">IF(DD8="",DF8,DD8)</f>
        <v>Dinamo Kiev</v>
      </c>
      <c r="DI8" s="209">
        <v>5</v>
      </c>
    </row>
    <row r="9" spans="1:113">
      <c r="A9" s="209">
        <f t="shared" si="12"/>
        <v>2</v>
      </c>
      <c r="B9" s="209" t="str">
        <f>'Team Setup'!B10</f>
        <v>FC København</v>
      </c>
      <c r="C9" s="210">
        <f>SUMPRODUCT(('Group Stages'!$I$10:$I$153&lt;&gt;"")*('Group Stages'!$K$10:$K$153&lt;&gt;"")*('Group Stages'!$G$10:$G$153='Dummy Table'!$B9)*('Group Stages'!$I$10:$I$153&gt;'Group Stages'!$K$10:$K$153))</f>
        <v>1</v>
      </c>
      <c r="D9" s="210">
        <f>SUMPRODUCT(('Group Stages'!$I$10:$I$153&lt;&gt;"")*('Group Stages'!$K$10:$K$153&lt;&gt;"")*('Group Stages'!$G$10:$G$153='Dummy Table'!$B9)*('Group Stages'!$I$10:$I$153='Group Stages'!$K$10:$K$153))</f>
        <v>1</v>
      </c>
      <c r="E9" s="210">
        <f>SUMPRODUCT(('Group Stages'!$I$10:$I$153&lt;&gt;"")*('Group Stages'!$K$10:$K$153&lt;&gt;"")*('Group Stages'!$G$10:$G$153='Dummy Table'!$B9)*('Group Stages'!$I$10:$I$153&lt;'Group Stages'!$K$10:$K$153))</f>
        <v>0</v>
      </c>
      <c r="F9" s="210">
        <f>SUMIF('Group Stages'!$G$10:$G$153,'Dummy Table'!$B9,'Group Stages'!$I$10:$I$153)</f>
        <v>0</v>
      </c>
      <c r="G9" s="210">
        <f>SUMIF('Group Stages'!$G$10:$G$153,'Dummy Table'!$B9,'Group Stages'!$K$10:$K$153)</f>
        <v>0</v>
      </c>
      <c r="H9" s="210">
        <f t="shared" si="13"/>
        <v>0</v>
      </c>
      <c r="I9" s="210">
        <f t="shared" si="14"/>
        <v>4</v>
      </c>
      <c r="J9" s="209">
        <f>SUMPRODUCT(('Group Stages'!$I$10:$I$153&lt;&gt;"")*('Group Stages'!$K$10:$K$153&lt;&gt;"")*('Group Stages'!$M$10:$M$153='Dummy Table'!$B9)*('Group Stages'!$I$10:$I$153&lt;'Group Stages'!$K$10:$K$153))</f>
        <v>0</v>
      </c>
      <c r="K9" s="209">
        <f>SUMPRODUCT(('Group Stages'!$I$10:$I$153&lt;&gt;"")*('Group Stages'!$K$10:$K$153&lt;&gt;"")*('Group Stages'!$M$10:$M$153='Dummy Table'!$B9)*('Group Stages'!$I$10:$I$153='Group Stages'!$K$10:$K$153))</f>
        <v>2</v>
      </c>
      <c r="L9" s="209">
        <f>SUMPRODUCT(('Group Stages'!$I$10:$I$153&lt;&gt;"")*('Group Stages'!$K$10:$K$153&lt;&gt;"")*('Group Stages'!$M$10:$M$153='Dummy Table'!$B9)*('Group Stages'!$I$10:$I$153&gt;'Group Stages'!$K$10:$K$153))</f>
        <v>0</v>
      </c>
      <c r="M9" s="209">
        <f>SUMIF('Group Stages'!$M$10:$M$153,'Dummy Table'!$B9,'Group Stages'!$K$10:$K$153)</f>
        <v>0</v>
      </c>
      <c r="N9" s="209">
        <f>SUMIF('Group Stages'!$M$10:$M$153,'Dummy Table'!$B9,'Group Stages'!$I$10:$I$153)</f>
        <v>0</v>
      </c>
      <c r="O9" s="209">
        <f t="shared" si="15"/>
        <v>0</v>
      </c>
      <c r="P9" s="209">
        <f t="shared" si="16"/>
        <v>2</v>
      </c>
      <c r="Q9" s="209">
        <f t="shared" si="17"/>
        <v>1</v>
      </c>
      <c r="R9" s="209">
        <f t="shared" si="18"/>
        <v>3</v>
      </c>
      <c r="S9" s="209">
        <f t="shared" si="19"/>
        <v>0</v>
      </c>
      <c r="T9" s="209">
        <f t="shared" si="20"/>
        <v>0</v>
      </c>
      <c r="U9" s="209">
        <f t="shared" si="21"/>
        <v>0</v>
      </c>
      <c r="V9" s="209">
        <f t="shared" si="22"/>
        <v>0</v>
      </c>
      <c r="W9" s="209">
        <f t="shared" si="23"/>
        <v>6</v>
      </c>
      <c r="X9" s="210">
        <f>IF('Team Setup'!F10&lt;&gt;"",'Team Setup'!F10,DI9)</f>
        <v>33000</v>
      </c>
      <c r="Y9" s="210">
        <f>RANK(W9,W$8:W$11)</f>
        <v>1</v>
      </c>
      <c r="Z9" s="210">
        <f>SUMPRODUCT((W$8:W$11=W9)*(V$8:V$11&gt;V9))</f>
        <v>0</v>
      </c>
      <c r="AA9" s="210">
        <f>SUMPRODUCT((Y$8:Y$11=Y9)*(Z$8:Z$11=Z9)*(T$8:T$11&gt;T9))</f>
        <v>0</v>
      </c>
      <c r="AB9" s="210">
        <f>SUMPRODUCT((Y$8:Y$11=Y9)*(Z$8:Z$11=Z9)*(T$8:T$11=T9)*(X$8:X$11&gt;X9))</f>
        <v>1</v>
      </c>
      <c r="AC9" s="209">
        <v>2</v>
      </c>
      <c r="AD9" s="209" t="str">
        <f>VLOOKUP(AC9,$A$8:$B$11,2,FALSE)</f>
        <v>FC København</v>
      </c>
      <c r="AE9" s="209">
        <f>VLOOKUP($AD9,$B$8:$W$11,22,FALSE)</f>
        <v>6</v>
      </c>
      <c r="AF9" s="209" t="str">
        <f t="shared" ref="AF9" si="49">IF(OR(AE9=AE8,AE9=AE10),AD9,"")</f>
        <v>FC København</v>
      </c>
      <c r="AG9" s="210">
        <f>SUMPRODUCT(($BK$4:$BK$147='Dummy Table'!$AF9)*($BL$4:$BL$147&gt;$BM$4:$BM$147))</f>
        <v>0</v>
      </c>
      <c r="AH9" s="210">
        <f>SUMPRODUCT(($BK$4:$BK$147='Dummy Table'!$AF9)*($BL$4:$BL$147=$BM$4:$BM$147))</f>
        <v>1</v>
      </c>
      <c r="AI9" s="210">
        <f>SUMPRODUCT(($BK$4:$BK$147='Dummy Table'!$AF9)*($BL$4:$BL$147&lt;$BM$4:$BM$147))</f>
        <v>0</v>
      </c>
      <c r="AJ9" s="210">
        <f>SUMIF($BK$4:$BK$147,'Dummy Table'!$AF9,$BL$4:$BL$147)</f>
        <v>0</v>
      </c>
      <c r="AK9" s="210">
        <f>SUMIF($BK$4:$BK$147,'Dummy Table'!$AF9,$BM$4:$BM$147)</f>
        <v>0</v>
      </c>
      <c r="AL9" s="210">
        <f t="shared" si="24"/>
        <v>0</v>
      </c>
      <c r="AM9" s="210">
        <f t="shared" si="25"/>
        <v>1</v>
      </c>
      <c r="AN9" s="210">
        <f>SUMPRODUCT(($BN$4:$BN$147='Dummy Table'!$AF9)*($BL$4:$BL$147&lt;$BM$4:$BM$147))</f>
        <v>0</v>
      </c>
      <c r="AO9" s="210">
        <f>SUMPRODUCT(($BN$4:$BN$147='Dummy Table'!$AF9)*($BL$4:$BL$147=$BM$4:$BM$147))</f>
        <v>1</v>
      </c>
      <c r="AP9" s="210">
        <f>SUMPRODUCT(($BN$4:$BN$147='Dummy Table'!$AF9)*($BL$4:$BL$147&gt;$BM$4:$BM$147))</f>
        <v>0</v>
      </c>
      <c r="AQ9" s="210">
        <f>SUMIF($BN$4:$BN$147,'Dummy Table'!$AF9,$BM$4:$BM$147)</f>
        <v>0</v>
      </c>
      <c r="AR9" s="210">
        <f>SUMIF($BN$4:$BN$147,'Dummy Table'!$AF9,$BL$4:$BL$147)</f>
        <v>0</v>
      </c>
      <c r="AS9" s="210">
        <f t="shared" si="26"/>
        <v>0</v>
      </c>
      <c r="AT9" s="210">
        <f t="shared" si="27"/>
        <v>1</v>
      </c>
      <c r="AU9" s="210">
        <f t="shared" si="28"/>
        <v>0</v>
      </c>
      <c r="AV9" s="210">
        <f t="shared" si="29"/>
        <v>2</v>
      </c>
      <c r="AW9" s="210">
        <f t="shared" si="30"/>
        <v>0</v>
      </c>
      <c r="AX9" s="210">
        <f t="shared" si="31"/>
        <v>0</v>
      </c>
      <c r="AY9" s="210">
        <f t="shared" si="32"/>
        <v>0</v>
      </c>
      <c r="AZ9" s="210">
        <f t="shared" si="33"/>
        <v>0</v>
      </c>
      <c r="BA9" s="210">
        <f t="shared" si="44"/>
        <v>2</v>
      </c>
      <c r="BB9" s="209">
        <f t="shared" si="2"/>
        <v>0</v>
      </c>
      <c r="BC9" s="209">
        <f t="shared" si="3"/>
        <v>0</v>
      </c>
      <c r="BD9" s="209">
        <f t="shared" si="4"/>
        <v>33000</v>
      </c>
      <c r="BE9" s="209">
        <f>RANK(BA9,BA$8:BA$11)</f>
        <v>1</v>
      </c>
      <c r="BF9" s="209">
        <f>SUMPRODUCT((BA$8:BA$11=BA9)*(AZ$8:AZ$11&gt;AZ9))</f>
        <v>0</v>
      </c>
      <c r="BG9" s="209">
        <f>SUMPRODUCT((BA$8:BA$11=BA9)*(BE$8:BE$11=BE9)*(AZ$8:AZ$11=AZ9)*(AQ$8:AQ$11&gt;AQ9))</f>
        <v>0</v>
      </c>
      <c r="BH9" s="209">
        <f>SUMPRODUCT((BA$8:BA$11=BA9)*(BE$8:BE$11=BE9)*(AZ$8:AZ$11=AZ9)*(AQ$8:AQ$11=AQ9)*(BB$8:BB$11&gt;BB9))</f>
        <v>0</v>
      </c>
      <c r="BI9" s="209">
        <f>SUMPRODUCT((BA$8:BA$11=BA9)*(BE$8:BE$11=BE9)*(AZ$8:AZ$11=AZ9)*(AQ$8:AQ$11=AQ9)*(BB$8:BB$11=BB9)*(BC$8:BC$11&gt;BC9))</f>
        <v>0</v>
      </c>
      <c r="BJ9" s="209">
        <f>SUMPRODUCT((BA$8:BA$11=BA9)*(BE$8:BE$11=BE9)*(AZ$8:AZ$11=AZ9)*(AQ$8:AQ$11=AQ9)*(BB$8:BB$11=BB9)*(BC$8:BC$11=BC9)*(BD$8:BD$11&gt;BD9))</f>
        <v>1</v>
      </c>
      <c r="BK9" s="209" t="str">
        <f>IF(AND(COUNTIF($AF$4:$AF$35,'Group Stages'!G15)&gt;0,COUNTIF($AF$4:$AF$35,'Group Stages'!M15)&gt;0,'Group Stages'!I15&lt;&gt;"",'Group Stages'!K15&lt;&gt;""),'Group Stages'!G15,"")</f>
        <v/>
      </c>
      <c r="BL9" s="209" t="str">
        <f>IF($BK9&lt;&gt;"",'Group Stages'!I15,"")</f>
        <v/>
      </c>
      <c r="BM9" s="209" t="str">
        <f>IF($BK9&lt;&gt;"",'Group Stages'!K15,"")</f>
        <v/>
      </c>
      <c r="BN9" s="209" t="str">
        <f>IF($BK9&lt;&gt;"",'Group Stages'!M15,"")</f>
        <v/>
      </c>
      <c r="BO9" s="209">
        <f t="shared" si="5"/>
        <v>2</v>
      </c>
      <c r="BP9" s="209" t="str">
        <f t="shared" si="34"/>
        <v>FC København</v>
      </c>
      <c r="BQ9" s="209">
        <f>VLOOKUP($AD9,$B$8:$W$11,22,FALSE)</f>
        <v>6</v>
      </c>
      <c r="BS9" s="217">
        <f>SUMPRODUCT(($CW$4:$CW$147='Dummy Table'!$BR9)*($CX$4:$CX$147&gt;$CY$4:$CY$147))</f>
        <v>0</v>
      </c>
      <c r="BT9" s="217">
        <f>SUMPRODUCT(($CW$4:$CW$147='Dummy Table'!$BR9)*($CX$4:$CX$147=$CY$4:$CY$147))</f>
        <v>142</v>
      </c>
      <c r="BU9" s="217">
        <f>SUMPRODUCT(($CW$4:$CW$147='Dummy Table'!$BR9)*($CX$4:$CX$147&lt;$CY$4:$CY$147))</f>
        <v>0</v>
      </c>
      <c r="BV9" s="217">
        <f>SUMIF($CW$4:$CW$147,'Dummy Table'!$BR9,$CX$4:$CX$147)</f>
        <v>0</v>
      </c>
      <c r="BW9" s="217">
        <f>SUMIF($CW$4:$CW$147,'Dummy Table'!$BR9,$CY$4:$CY$147)</f>
        <v>0</v>
      </c>
      <c r="BX9" s="217">
        <f t="shared" si="35"/>
        <v>0</v>
      </c>
      <c r="BY9" s="217" t="str">
        <f t="shared" si="36"/>
        <v/>
      </c>
      <c r="BZ9" s="217">
        <f>SUMPRODUCT(($CZ$4:$CZ$147='Dummy Table'!$BR9)*($CX$4:$CX$147&lt;$CY$4:$CY$147))</f>
        <v>0</v>
      </c>
      <c r="CA9" s="217">
        <f>SUMPRODUCT(($CZ$4:$CZ$147='Dummy Table'!$BR9)*($CX$4:$CX$147=$CY$4:$CY$147))</f>
        <v>142</v>
      </c>
      <c r="CB9" s="217">
        <f>SUMPRODUCT(($CZ$4:$CZ$147='Dummy Table'!$BR9)*($CX$4:$CX$147&gt;$CY$4:$CY$147))</f>
        <v>0</v>
      </c>
      <c r="CC9" s="217">
        <f>SUMIF($CZ$4:$CZ$147,'Dummy Table'!$BR9,$CY$4:$CY$147)</f>
        <v>0</v>
      </c>
      <c r="CD9" s="217">
        <f>SUMIF($CZ$4:$CZ$147,'Dummy Table'!$BR9,$CX$4:$CX$147)</f>
        <v>0</v>
      </c>
      <c r="CE9" s="217">
        <f t="shared" si="37"/>
        <v>0</v>
      </c>
      <c r="CF9" s="217" t="str">
        <f t="shared" si="38"/>
        <v/>
      </c>
      <c r="CG9" s="217">
        <f t="shared" si="39"/>
        <v>0</v>
      </c>
      <c r="CH9" s="217">
        <f t="shared" si="6"/>
        <v>284</v>
      </c>
      <c r="CI9" s="217">
        <f t="shared" si="7"/>
        <v>0</v>
      </c>
      <c r="CJ9" s="217">
        <f t="shared" si="8"/>
        <v>0</v>
      </c>
      <c r="CK9" s="217">
        <f t="shared" si="9"/>
        <v>0</v>
      </c>
      <c r="CL9" s="217">
        <f t="shared" si="10"/>
        <v>0</v>
      </c>
      <c r="CM9" s="217">
        <f t="shared" si="45"/>
        <v>-1</v>
      </c>
      <c r="CN9" s="210">
        <f t="shared" si="40"/>
        <v>33000</v>
      </c>
      <c r="CO9" s="210">
        <f>SUMIF($CZ$4:$CZ$147,'Dummy Table'!$BR9,$CY$4:$CY$147)*2</f>
        <v>0</v>
      </c>
      <c r="CP9" s="210">
        <f>RANK(CM9,CM$8:CM$11)</f>
        <v>1</v>
      </c>
      <c r="CR9" s="210">
        <f>SUMPRODUCT((CM$8:CM$11=CM9)*(CL$8:CL$11&gt;CL9))</f>
        <v>0</v>
      </c>
      <c r="CS9" s="210">
        <f>SUMPRODUCT((CP$8:CP$11=CP9)*(CR$8:CR$11=CR9)*(CO$8:CO$11&gt;CO9))</f>
        <v>0</v>
      </c>
      <c r="CT9" s="210">
        <f>IF(BR9&lt;&gt;"",SUMPRODUCT((CP$8:CP$11=CP9)*(CR$8:CR$11=CR9)*(CS$8:CS$11=CS9)*(V$8:V$11&gt;V9)),0)</f>
        <v>0</v>
      </c>
      <c r="CU9" s="210">
        <f t="shared" ref="CU9:CU11" si="50">IF($BR9&lt;&gt;"",SUMPRODUCT((CP$8:CP$11=CP9)*(CR$8:CR$11=CR9)*(CS$8:CS$11=CS9)*(CT$8:CT$11=CT9)*(T$8:T$11&gt;T9)),0)</f>
        <v>0</v>
      </c>
      <c r="CV9" s="210">
        <f>SUMPRODUCT((CP$8:CP$11=CP9)*(CR$8:CR$11=CR9)*(CS$8:CS$11=CS9)*(CT$8:CT$11=CT9)*(CU$8:CU$11=CU9)*(CN$8:CN$11&gt;CN9))</f>
        <v>1</v>
      </c>
      <c r="CW9" s="209" t="str">
        <f>IF(AND(COUNTIF($BR$4:$BR$35,'Group Stages'!$G15)&gt;0,COUNTIF($BR$4:$BR$35,'Group Stages'!$M15)&gt;0),'Group Stages'!$G15,"")</f>
        <v/>
      </c>
      <c r="CX9" s="209" t="str">
        <f>IF($CW9&lt;&gt;"",'Group Stages'!$I15,"")</f>
        <v/>
      </c>
      <c r="CY9" s="209" t="str">
        <f>IF($CW9&lt;&gt;"",'Group Stages'!$K15,"")</f>
        <v/>
      </c>
      <c r="CZ9" s="209" t="str">
        <f>IF($CW9&lt;&gt;"",'Group Stages'!$M15,"")</f>
        <v/>
      </c>
      <c r="DA9" s="210" t="str">
        <f t="shared" si="11"/>
        <v/>
      </c>
      <c r="DB9" s="209" t="str">
        <f t="shared" si="43"/>
        <v/>
      </c>
      <c r="DC9" s="209">
        <v>2</v>
      </c>
      <c r="DD9" s="209" t="str">
        <f t="shared" si="47"/>
        <v/>
      </c>
      <c r="DE9" s="209">
        <f>IF(AND(DD9="",DD8=""),DC9,IF(AND(DD8&lt;&gt;"",DD9=""),1,""))</f>
        <v>2</v>
      </c>
      <c r="DF9" s="209" t="str">
        <f>VLOOKUP(DE9,$BO$8:$BP$11,2,FALSE)</f>
        <v>FC København</v>
      </c>
      <c r="DG9" s="209">
        <v>2</v>
      </c>
      <c r="DH9" s="209" t="str">
        <f t="shared" si="48"/>
        <v>FC København</v>
      </c>
      <c r="DI9" s="209">
        <v>6</v>
      </c>
    </row>
    <row r="10" spans="1:113">
      <c r="A10" s="209">
        <f t="shared" si="12"/>
        <v>4</v>
      </c>
      <c r="B10" s="209" t="str">
        <f>'Team Setup'!B11</f>
        <v>FC Lugano</v>
      </c>
      <c r="C10" s="210">
        <f>SUMPRODUCT(('Group Stages'!$I$10:$I$153&lt;&gt;"")*('Group Stages'!$K$10:$K$153&lt;&gt;"")*('Group Stages'!$G$10:$G$153='Dummy Table'!$B10)*('Group Stages'!$I$10:$I$153&gt;'Group Stages'!$K$10:$K$153))</f>
        <v>0</v>
      </c>
      <c r="D10" s="210">
        <f>SUMPRODUCT(('Group Stages'!$I$10:$I$153&lt;&gt;"")*('Group Stages'!$K$10:$K$153&lt;&gt;"")*('Group Stages'!$G$10:$G$153='Dummy Table'!$B10)*('Group Stages'!$I$10:$I$153='Group Stages'!$K$10:$K$153))</f>
        <v>2</v>
      </c>
      <c r="E10" s="210">
        <f>SUMPRODUCT(('Group Stages'!$I$10:$I$153&lt;&gt;"")*('Group Stages'!$K$10:$K$153&lt;&gt;"")*('Group Stages'!$G$10:$G$153='Dummy Table'!$B10)*('Group Stages'!$I$10:$I$153&lt;'Group Stages'!$K$10:$K$153))</f>
        <v>0</v>
      </c>
      <c r="F10" s="210">
        <f>SUMIF('Group Stages'!$G$10:$G$153,'Dummy Table'!$B10,'Group Stages'!$I$10:$I$153)</f>
        <v>0</v>
      </c>
      <c r="G10" s="210">
        <f>SUMIF('Group Stages'!$G$10:$G$153,'Dummy Table'!$B10,'Group Stages'!$K$10:$K$153)</f>
        <v>0</v>
      </c>
      <c r="H10" s="210">
        <f t="shared" si="13"/>
        <v>0</v>
      </c>
      <c r="I10" s="210">
        <f t="shared" si="14"/>
        <v>2</v>
      </c>
      <c r="J10" s="209">
        <f>SUMPRODUCT(('Group Stages'!$I$10:$I$153&lt;&gt;"")*('Group Stages'!$K$10:$K$153&lt;&gt;"")*('Group Stages'!$M$10:$M$153='Dummy Table'!$B10)*('Group Stages'!$I$10:$I$153&lt;'Group Stages'!$K$10:$K$153))</f>
        <v>0</v>
      </c>
      <c r="K10" s="209">
        <f>SUMPRODUCT(('Group Stages'!$I$10:$I$153&lt;&gt;"")*('Group Stages'!$K$10:$K$153&lt;&gt;"")*('Group Stages'!$M$10:$M$153='Dummy Table'!$B10)*('Group Stages'!$I$10:$I$153='Group Stages'!$K$10:$K$153))</f>
        <v>0</v>
      </c>
      <c r="L10" s="209">
        <f>SUMPRODUCT(('Group Stages'!$I$10:$I$153&lt;&gt;"")*('Group Stages'!$K$10:$K$153&lt;&gt;"")*('Group Stages'!$M$10:$M$153='Dummy Table'!$B10)*('Group Stages'!$I$10:$I$153&gt;'Group Stages'!$K$10:$K$153))</f>
        <v>2</v>
      </c>
      <c r="M10" s="209">
        <f>SUMIF('Group Stages'!$M$10:$M$153,'Dummy Table'!$B10,'Group Stages'!$K$10:$K$153)</f>
        <v>0</v>
      </c>
      <c r="N10" s="209">
        <f>SUMIF('Group Stages'!$M$10:$M$153,'Dummy Table'!$B10,'Group Stages'!$I$10:$I$153)</f>
        <v>0</v>
      </c>
      <c r="O10" s="209">
        <f t="shared" si="15"/>
        <v>0</v>
      </c>
      <c r="P10" s="209">
        <f t="shared" si="16"/>
        <v>0</v>
      </c>
      <c r="Q10" s="209">
        <f t="shared" si="17"/>
        <v>0</v>
      </c>
      <c r="R10" s="209">
        <f t="shared" si="18"/>
        <v>2</v>
      </c>
      <c r="S10" s="209">
        <f t="shared" si="19"/>
        <v>2</v>
      </c>
      <c r="T10" s="209">
        <f t="shared" si="20"/>
        <v>0</v>
      </c>
      <c r="U10" s="209">
        <f t="shared" si="21"/>
        <v>0</v>
      </c>
      <c r="V10" s="209">
        <f t="shared" si="22"/>
        <v>0</v>
      </c>
      <c r="W10" s="209">
        <f t="shared" si="23"/>
        <v>2</v>
      </c>
      <c r="X10" s="210">
        <f>IF('Team Setup'!F11&lt;&gt;"",'Team Setup'!F11,DI10)</f>
        <v>8000</v>
      </c>
      <c r="Y10" s="210">
        <f>RANK(W10,W$8:W$11)</f>
        <v>4</v>
      </c>
      <c r="Z10" s="210">
        <f>SUMPRODUCT((W$8:W$11=W10)*(V$8:V$11&gt;V10))</f>
        <v>0</v>
      </c>
      <c r="AA10" s="210">
        <f>SUMPRODUCT((Y$8:Y$11=Y10)*(Z$8:Z$11=Z10)*(T$8:T$11&gt;T10))</f>
        <v>0</v>
      </c>
      <c r="AB10" s="210">
        <f>SUMPRODUCT((Y$8:Y$11=Y10)*(Z$8:Z$11=Z10)*(T$8:T$11=T10)*(X$8:X$11&gt;X10))</f>
        <v>0</v>
      </c>
      <c r="AC10" s="209">
        <v>3</v>
      </c>
      <c r="AD10" s="209" t="str">
        <f>VLOOKUP(AC10,$A$8:$B$11,2,FALSE)</f>
        <v>Malmö FF</v>
      </c>
      <c r="AE10" s="209">
        <f>VLOOKUP($AD10,$B$8:$W$11,22,FALSE)</f>
        <v>5</v>
      </c>
      <c r="AF10" s="209" t="str">
        <f t="shared" ref="AF10" si="51">IF(AE10=AE9,AD10,"")</f>
        <v/>
      </c>
      <c r="AG10" s="210">
        <f>SUMPRODUCT(($BK$4:$BK$147='Dummy Table'!$AF10)*($BL$4:$BL$147&gt;$BM$4:$BM$147))</f>
        <v>0</v>
      </c>
      <c r="AH10" s="210">
        <f>SUMPRODUCT(($BK$4:$BK$147='Dummy Table'!$AF10)*($BL$4:$BL$147=$BM$4:$BM$147))</f>
        <v>134</v>
      </c>
      <c r="AI10" s="210">
        <f>SUMPRODUCT(($BK$4:$BK$147='Dummy Table'!$AF10)*($BL$4:$BL$147&lt;$BM$4:$BM$147))</f>
        <v>0</v>
      </c>
      <c r="AJ10" s="210">
        <f>SUMIF($BK$4:$BK$147,'Dummy Table'!$AF10,$BL$4:$BL$147)</f>
        <v>0</v>
      </c>
      <c r="AK10" s="210">
        <f>SUMIF($BK$4:$BK$147,'Dummy Table'!$AF10,$BM$4:$BM$147)</f>
        <v>0</v>
      </c>
      <c r="AL10" s="210">
        <f t="shared" si="24"/>
        <v>0</v>
      </c>
      <c r="AM10" s="210" t="str">
        <f t="shared" si="25"/>
        <v/>
      </c>
      <c r="AN10" s="210">
        <f>SUMPRODUCT(($BN$4:$BN$147='Dummy Table'!$AF10)*($BL$4:$BL$147&lt;$BM$4:$BM$147))</f>
        <v>0</v>
      </c>
      <c r="AO10" s="210">
        <f>SUMPRODUCT(($BN$4:$BN$147='Dummy Table'!$AF10)*($BL$4:$BL$147=$BM$4:$BM$147))</f>
        <v>134</v>
      </c>
      <c r="AP10" s="210">
        <f>SUMPRODUCT(($BN$4:$BN$147='Dummy Table'!$AF10)*($BL$4:$BL$147&gt;$BM$4:$BM$147))</f>
        <v>0</v>
      </c>
      <c r="AQ10" s="210">
        <f>SUMIF($BN$4:$BN$147,'Dummy Table'!$AF10,$BM$4:$BM$147)</f>
        <v>0</v>
      </c>
      <c r="AR10" s="210">
        <f>SUMIF($BN$4:$BN$147,'Dummy Table'!$AF10,$BL$4:$BL$147)</f>
        <v>0</v>
      </c>
      <c r="AS10" s="210">
        <f t="shared" si="26"/>
        <v>0</v>
      </c>
      <c r="AT10" s="210" t="str">
        <f t="shared" si="27"/>
        <v/>
      </c>
      <c r="AU10" s="210">
        <f t="shared" si="28"/>
        <v>0</v>
      </c>
      <c r="AV10" s="210">
        <f t="shared" si="29"/>
        <v>268</v>
      </c>
      <c r="AW10" s="210">
        <f t="shared" si="30"/>
        <v>0</v>
      </c>
      <c r="AX10" s="210">
        <f t="shared" si="31"/>
        <v>0</v>
      </c>
      <c r="AY10" s="210">
        <f t="shared" si="32"/>
        <v>0</v>
      </c>
      <c r="AZ10" s="210">
        <f t="shared" si="33"/>
        <v>0</v>
      </c>
      <c r="BA10" s="210">
        <f t="shared" si="44"/>
        <v>-1</v>
      </c>
      <c r="BB10" s="209" t="str">
        <f t="shared" si="2"/>
        <v/>
      </c>
      <c r="BC10" s="209" t="str">
        <f t="shared" si="3"/>
        <v/>
      </c>
      <c r="BD10" s="209" t="str">
        <f t="shared" si="4"/>
        <v/>
      </c>
      <c r="BE10" s="209">
        <f>RANK(BA10,BA$8:BA$11)</f>
        <v>3</v>
      </c>
      <c r="BF10" s="209">
        <f>SUMPRODUCT((BA$8:BA$11=BA10)*(AZ$8:AZ$11&gt;AZ10))</f>
        <v>0</v>
      </c>
      <c r="BG10" s="209">
        <f>SUMPRODUCT((BA$8:BA$11=BA10)*(BE$8:BE$11=BE10)*(AZ$8:AZ$11=AZ10)*(AQ$8:AQ$11&gt;AQ10))</f>
        <v>0</v>
      </c>
      <c r="BH10" s="209">
        <f>SUMPRODUCT((BA$8:BA$11=BA10)*(BE$8:BE$11=BE10)*(AZ$8:AZ$11=AZ10)*(AQ$8:AQ$11=AQ10)*(BB$8:BB$11&gt;BB10))</f>
        <v>0</v>
      </c>
      <c r="BI10" s="209">
        <f>SUMPRODUCT((BA$8:BA$11=BA10)*(BE$8:BE$11=BE10)*(AZ$8:AZ$11=AZ10)*(AQ$8:AQ$11=AQ10)*(BB$8:BB$11=BB10)*(BC$8:BC$11&gt;BC10))</f>
        <v>0</v>
      </c>
      <c r="BJ10" s="209">
        <f>SUMPRODUCT((BA$8:BA$11=BA10)*(BE$8:BE$11=BE10)*(AZ$8:AZ$11=AZ10)*(AQ$8:AQ$11=AQ10)*(BB$8:BB$11=BB10)*(BC$8:BC$11=BC10)*(BD$8:BD$11&gt;BD10))</f>
        <v>0</v>
      </c>
      <c r="BK10" s="209" t="str">
        <f>IF(AND(COUNTIF($AF$4:$AF$35,'Group Stages'!G16)&gt;0,COUNTIF($AF$4:$AF$35,'Group Stages'!M16)&gt;0,'Group Stages'!I16&lt;&gt;"",'Group Stages'!K16&lt;&gt;""),'Group Stages'!G16,"")</f>
        <v/>
      </c>
      <c r="BL10" s="209" t="str">
        <f>IF($BK10&lt;&gt;"",'Group Stages'!I16,"")</f>
        <v/>
      </c>
      <c r="BM10" s="209" t="str">
        <f>IF($BK10&lt;&gt;"",'Group Stages'!K16,"")</f>
        <v/>
      </c>
      <c r="BN10" s="209" t="str">
        <f>IF($BK10&lt;&gt;"",'Group Stages'!M16,"")</f>
        <v/>
      </c>
      <c r="BO10" s="209" t="str">
        <f t="shared" si="5"/>
        <v/>
      </c>
      <c r="BP10" s="209" t="str">
        <f t="shared" si="34"/>
        <v/>
      </c>
      <c r="BQ10" s="209">
        <f>VLOOKUP($AD10,$B$8:$W$11,22,FALSE)</f>
        <v>5</v>
      </c>
      <c r="BR10" s="209" t="str">
        <f t="shared" ref="BR10" si="52">IF(AND(BQ10&lt;&gt;BQ9,BQ10=BQ11),AD10,"")</f>
        <v/>
      </c>
      <c r="BS10" s="217">
        <f>SUMPRODUCT(($CW$4:$CW$147='Dummy Table'!$BR10)*($CX$4:$CX$147&gt;$CY$4:$CY$147))</f>
        <v>0</v>
      </c>
      <c r="BT10" s="217">
        <f>SUMPRODUCT(($CW$4:$CW$147='Dummy Table'!$BR10)*($CX$4:$CX$147=$CY$4:$CY$147))</f>
        <v>142</v>
      </c>
      <c r="BU10" s="217">
        <f>SUMPRODUCT(($CW$4:$CW$147='Dummy Table'!$BR10)*($CX$4:$CX$147&lt;$CY$4:$CY$147))</f>
        <v>0</v>
      </c>
      <c r="BV10" s="217">
        <f>SUMIF($CW$4:$CW$147,'Dummy Table'!$BR10,$CX$4:$CX$147)</f>
        <v>0</v>
      </c>
      <c r="BW10" s="217">
        <f>SUMIF($CW$4:$CW$147,'Dummy Table'!$BR10,$CY$4:$CY$147)</f>
        <v>0</v>
      </c>
      <c r="BX10" s="217">
        <f t="shared" si="35"/>
        <v>0</v>
      </c>
      <c r="BY10" s="217" t="str">
        <f t="shared" si="36"/>
        <v/>
      </c>
      <c r="BZ10" s="217">
        <f>SUMPRODUCT(($CZ$4:$CZ$147='Dummy Table'!$BR10)*($CX$4:$CX$147&lt;$CY$4:$CY$147))</f>
        <v>0</v>
      </c>
      <c r="CA10" s="217">
        <f>SUMPRODUCT(($CZ$4:$CZ$147='Dummy Table'!$BR10)*($CX$4:$CX$147=$CY$4:$CY$147))</f>
        <v>142</v>
      </c>
      <c r="CB10" s="217">
        <f>SUMPRODUCT(($CZ$4:$CZ$147='Dummy Table'!$BR10)*($CX$4:$CX$147&gt;$CY$4:$CY$147))</f>
        <v>0</v>
      </c>
      <c r="CC10" s="217">
        <f>SUMIF($CZ$4:$CZ$147,'Dummy Table'!$BR10,$CY$4:$CY$147)</f>
        <v>0</v>
      </c>
      <c r="CD10" s="217">
        <f>SUMIF($CZ$4:$CZ$147,'Dummy Table'!$BR10,$CX$4:$CX$147)</f>
        <v>0</v>
      </c>
      <c r="CE10" s="217">
        <f t="shared" si="37"/>
        <v>0</v>
      </c>
      <c r="CF10" s="217" t="str">
        <f t="shared" si="38"/>
        <v/>
      </c>
      <c r="CG10" s="217">
        <f t="shared" si="39"/>
        <v>0</v>
      </c>
      <c r="CH10" s="217">
        <f t="shared" si="6"/>
        <v>284</v>
      </c>
      <c r="CI10" s="217">
        <f t="shared" si="7"/>
        <v>0</v>
      </c>
      <c r="CJ10" s="217">
        <f t="shared" si="8"/>
        <v>0</v>
      </c>
      <c r="CK10" s="217">
        <f t="shared" si="9"/>
        <v>0</v>
      </c>
      <c r="CL10" s="217">
        <f t="shared" si="10"/>
        <v>0</v>
      </c>
      <c r="CM10" s="217">
        <f t="shared" si="45"/>
        <v>-1</v>
      </c>
      <c r="CN10" s="210">
        <f t="shared" si="40"/>
        <v>8000</v>
      </c>
      <c r="CO10" s="210">
        <f>SUMIF($CZ$4:$CZ$147,'Dummy Table'!$BR10,$CY$4:$CY$147)*2</f>
        <v>0</v>
      </c>
      <c r="CP10" s="210">
        <f>RANK(CM10,CM$8:CM$11)</f>
        <v>1</v>
      </c>
      <c r="CR10" s="210">
        <f>SUMPRODUCT((CM$8:CM$11=CM10)*(CL$8:CL$11&gt;CL10))</f>
        <v>0</v>
      </c>
      <c r="CS10" s="210">
        <f>SUMPRODUCT((CP$8:CP$11=CP10)*(CR$8:CR$11=CR10)*(CO$8:CO$11&gt;CO10))</f>
        <v>0</v>
      </c>
      <c r="CT10" s="210">
        <f>IF(BR10&lt;&gt;"",SUMPRODUCT((CP$8:CP$11=CP10)*(CR$8:CR$11=CR10)*(CS$8:CS$11=CS10)*(V$8:V$11&gt;V10)),0)</f>
        <v>0</v>
      </c>
      <c r="CU10" s="210">
        <f t="shared" si="50"/>
        <v>0</v>
      </c>
      <c r="CV10" s="210">
        <f>SUMPRODUCT((CP$8:CP$11=CP10)*(CR$8:CR$11=CR10)*(CS$8:CS$11=CS10)*(CT$8:CT$11=CT10)*(CU$8:CU$11=CU10)*(CN$8:CN$11&gt;CN10))</f>
        <v>3</v>
      </c>
      <c r="CW10" s="209" t="str">
        <f>IF(AND(COUNTIF($BR$4:$BR$35,'Group Stages'!$G16)&gt;0,COUNTIF($BR$4:$BR$35,'Group Stages'!$M16)&gt;0),'Group Stages'!$G16,"")</f>
        <v/>
      </c>
      <c r="CX10" s="209" t="str">
        <f>IF($CW10&lt;&gt;"",'Group Stages'!$I16,"")</f>
        <v/>
      </c>
      <c r="CY10" s="209" t="str">
        <f>IF($CW10&lt;&gt;"",'Group Stages'!$K16,"")</f>
        <v/>
      </c>
      <c r="CZ10" s="209" t="str">
        <f>IF($CW10&lt;&gt;"",'Group Stages'!$M16,"")</f>
        <v/>
      </c>
      <c r="DA10" s="210" t="str">
        <f t="shared" si="11"/>
        <v/>
      </c>
      <c r="DB10" s="209" t="str">
        <f t="shared" si="43"/>
        <v/>
      </c>
      <c r="DC10" s="209">
        <v>3</v>
      </c>
      <c r="DD10" s="209" t="str">
        <f t="shared" si="47"/>
        <v>Malmö FF</v>
      </c>
      <c r="DE10" s="209" t="str">
        <f>IF(AND(DD10="",DD9="",DD8=""),DC10,IF(AND(DD8&lt;&gt;"",DD9="",DD10=""),2,IF(AND(DD8&lt;&gt;"",DD9&lt;&gt;"",DD10=""),1,"")))</f>
        <v/>
      </c>
      <c r="DF10" s="209" t="str">
        <f>VLOOKUP(DE10,$BO$8:$BP$11,2,FALSE)</f>
        <v/>
      </c>
      <c r="DG10" s="209">
        <v>3</v>
      </c>
      <c r="DH10" s="209" t="str">
        <f t="shared" ref="DH10" si="53">IF(DB10&lt;&gt;"",IF(DA10&lt;DA11,DB10,DB11),IF(DF10&lt;&gt;"",DF10,DD10))</f>
        <v>Malmö FF</v>
      </c>
      <c r="DI10" s="209">
        <v>7</v>
      </c>
    </row>
    <row r="11" spans="1:113">
      <c r="A11" s="209">
        <f t="shared" si="12"/>
        <v>3</v>
      </c>
      <c r="B11" s="209" t="str">
        <f>'Team Setup'!B12</f>
        <v>Malmö FF</v>
      </c>
      <c r="C11" s="210">
        <f>SUMPRODUCT(('Group Stages'!$I$10:$I$153&lt;&gt;"")*('Group Stages'!$K$10:$K$153&lt;&gt;"")*('Group Stages'!$G$10:$G$153='Dummy Table'!$B11)*('Group Stages'!$I$10:$I$153&gt;'Group Stages'!$K$10:$K$153))</f>
        <v>1</v>
      </c>
      <c r="D11" s="210">
        <f>SUMPRODUCT(('Group Stages'!$I$10:$I$153&lt;&gt;"")*('Group Stages'!$K$10:$K$153&lt;&gt;"")*('Group Stages'!$G$10:$G$153='Dummy Table'!$B11)*('Group Stages'!$I$10:$I$153='Group Stages'!$K$10:$K$153))</f>
        <v>1</v>
      </c>
      <c r="E11" s="210">
        <f>SUMPRODUCT(('Group Stages'!$I$10:$I$153&lt;&gt;"")*('Group Stages'!$K$10:$K$153&lt;&gt;"")*('Group Stages'!$G$10:$G$153='Dummy Table'!$B11)*('Group Stages'!$I$10:$I$153&lt;'Group Stages'!$K$10:$K$153))</f>
        <v>0</v>
      </c>
      <c r="F11" s="210">
        <f>SUMIF('Group Stages'!$G$10:$G$153,'Dummy Table'!$B11,'Group Stages'!$I$10:$I$153)</f>
        <v>0</v>
      </c>
      <c r="G11" s="210">
        <f>SUMIF('Group Stages'!$G$10:$G$153,'Dummy Table'!$B11,'Group Stages'!$K$10:$K$153)</f>
        <v>0</v>
      </c>
      <c r="H11" s="210">
        <f t="shared" si="13"/>
        <v>0</v>
      </c>
      <c r="I11" s="210">
        <f t="shared" si="14"/>
        <v>4</v>
      </c>
      <c r="J11" s="209">
        <f>SUMPRODUCT(('Group Stages'!$I$10:$I$153&lt;&gt;"")*('Group Stages'!$K$10:$K$153&lt;&gt;"")*('Group Stages'!$M$10:$M$153='Dummy Table'!$B11)*('Group Stages'!$I$10:$I$153&lt;'Group Stages'!$K$10:$K$153))</f>
        <v>0</v>
      </c>
      <c r="K11" s="209">
        <f>SUMPRODUCT(('Group Stages'!$I$10:$I$153&lt;&gt;"")*('Group Stages'!$K$10:$K$153&lt;&gt;"")*('Group Stages'!$M$10:$M$153='Dummy Table'!$B11)*('Group Stages'!$I$10:$I$153='Group Stages'!$K$10:$K$153))</f>
        <v>1</v>
      </c>
      <c r="L11" s="209">
        <f>SUMPRODUCT(('Group Stages'!$I$10:$I$153&lt;&gt;"")*('Group Stages'!$K$10:$K$153&lt;&gt;"")*('Group Stages'!$M$10:$M$153='Dummy Table'!$B11)*('Group Stages'!$I$10:$I$153&gt;'Group Stages'!$K$10:$K$153))</f>
        <v>1</v>
      </c>
      <c r="M11" s="209">
        <f>SUMIF('Group Stages'!$M$10:$M$153,'Dummy Table'!$B11,'Group Stages'!$K$10:$K$153)</f>
        <v>0</v>
      </c>
      <c r="N11" s="209">
        <f>SUMIF('Group Stages'!$M$10:$M$153,'Dummy Table'!$B11,'Group Stages'!$I$10:$I$153)</f>
        <v>0</v>
      </c>
      <c r="O11" s="209">
        <f t="shared" si="15"/>
        <v>0</v>
      </c>
      <c r="P11" s="209">
        <f t="shared" si="16"/>
        <v>1</v>
      </c>
      <c r="Q11" s="209">
        <f t="shared" si="17"/>
        <v>1</v>
      </c>
      <c r="R11" s="209">
        <f t="shared" si="18"/>
        <v>2</v>
      </c>
      <c r="S11" s="209">
        <f t="shared" si="19"/>
        <v>1</v>
      </c>
      <c r="T11" s="209">
        <f t="shared" si="20"/>
        <v>0</v>
      </c>
      <c r="U11" s="209">
        <f t="shared" si="21"/>
        <v>0</v>
      </c>
      <c r="V11" s="209">
        <f t="shared" si="22"/>
        <v>0</v>
      </c>
      <c r="W11" s="209">
        <f t="shared" si="23"/>
        <v>5</v>
      </c>
      <c r="X11" s="210">
        <f>IF('Team Setup'!F12&lt;&gt;"",'Team Setup'!F12,DI11)</f>
        <v>18000</v>
      </c>
      <c r="Y11" s="210">
        <f>RANK(W11,W$8:W$11)</f>
        <v>3</v>
      </c>
      <c r="Z11" s="210">
        <f>SUMPRODUCT((W$8:W$11=W11)*(V$8:V$11&gt;V11))</f>
        <v>0</v>
      </c>
      <c r="AA11" s="210">
        <f>SUMPRODUCT((Y$8:Y$11=Y11)*(Z$8:Z$11=Z11)*(T$8:T$11&gt;T11))</f>
        <v>0</v>
      </c>
      <c r="AB11" s="210">
        <f>SUMPRODUCT((Y$8:Y$11=Y11)*(Z$8:Z$11=Z11)*(T$8:T$11=T11)*(X$8:X$11&gt;X11))</f>
        <v>0</v>
      </c>
      <c r="AC11" s="209">
        <v>4</v>
      </c>
      <c r="AD11" s="209" t="str">
        <f>VLOOKUP(AC11,$A$8:$B$11,2,FALSE)</f>
        <v>FC Lugano</v>
      </c>
      <c r="AE11" s="209">
        <f>VLOOKUP($AD11,$B$8:$W$11,22,FALSE)</f>
        <v>2</v>
      </c>
      <c r="AF11" s="209" t="str">
        <f t="shared" ref="AF11" si="54">IF(AND(AE11=AE10,AE10=AE9),AD11,"")</f>
        <v/>
      </c>
      <c r="AG11" s="210">
        <f>SUMPRODUCT(($BK$4:$BK$147='Dummy Table'!$AF11)*($BL$4:$BL$147&gt;$BM$4:$BM$147))</f>
        <v>0</v>
      </c>
      <c r="AH11" s="210">
        <f>SUMPRODUCT(($BK$4:$BK$147='Dummy Table'!$AF11)*($BL$4:$BL$147=$BM$4:$BM$147))</f>
        <v>134</v>
      </c>
      <c r="AI11" s="210">
        <f>SUMPRODUCT(($BK$4:$BK$147='Dummy Table'!$AF11)*($BL$4:$BL$147&lt;$BM$4:$BM$147))</f>
        <v>0</v>
      </c>
      <c r="AJ11" s="210">
        <f>SUMIF($BK$4:$BK$147,'Dummy Table'!$AF11,$BL$4:$BL$147)</f>
        <v>0</v>
      </c>
      <c r="AK11" s="210">
        <f>SUMIF($BK$4:$BK$147,'Dummy Table'!$AF11,$BM$4:$BM$147)</f>
        <v>0</v>
      </c>
      <c r="AL11" s="210">
        <f t="shared" si="24"/>
        <v>0</v>
      </c>
      <c r="AM11" s="210" t="str">
        <f t="shared" si="25"/>
        <v/>
      </c>
      <c r="AN11" s="210">
        <f>SUMPRODUCT(($BN$4:$BN$147='Dummy Table'!$AF11)*($BL$4:$BL$147&lt;$BM$4:$BM$147))</f>
        <v>0</v>
      </c>
      <c r="AO11" s="210">
        <f>SUMPRODUCT(($BN$4:$BN$147='Dummy Table'!$AF11)*($BL$4:$BL$147=$BM$4:$BM$147))</f>
        <v>134</v>
      </c>
      <c r="AP11" s="210">
        <f>SUMPRODUCT(($BN$4:$BN$147='Dummy Table'!$AF11)*($BL$4:$BL$147&gt;$BM$4:$BM$147))</f>
        <v>0</v>
      </c>
      <c r="AQ11" s="210">
        <f>SUMIF($BN$4:$BN$147,'Dummy Table'!$AF11,$BM$4:$BM$147)</f>
        <v>0</v>
      </c>
      <c r="AR11" s="210">
        <f>SUMIF($BN$4:$BN$147,'Dummy Table'!$AF11,$BL$4:$BL$147)</f>
        <v>0</v>
      </c>
      <c r="AS11" s="210">
        <f t="shared" si="26"/>
        <v>0</v>
      </c>
      <c r="AT11" s="210" t="str">
        <f t="shared" si="27"/>
        <v/>
      </c>
      <c r="AU11" s="210">
        <f t="shared" si="28"/>
        <v>0</v>
      </c>
      <c r="AV11" s="210">
        <f t="shared" si="29"/>
        <v>268</v>
      </c>
      <c r="AW11" s="210">
        <f t="shared" si="30"/>
        <v>0</v>
      </c>
      <c r="AX11" s="210">
        <f t="shared" si="31"/>
        <v>0</v>
      </c>
      <c r="AY11" s="210">
        <f t="shared" si="32"/>
        <v>0</v>
      </c>
      <c r="AZ11" s="210">
        <f t="shared" si="33"/>
        <v>0</v>
      </c>
      <c r="BA11" s="210">
        <f t="shared" si="44"/>
        <v>-1</v>
      </c>
      <c r="BB11" s="209" t="str">
        <f t="shared" si="2"/>
        <v/>
      </c>
      <c r="BC11" s="209" t="str">
        <f t="shared" si="3"/>
        <v/>
      </c>
      <c r="BD11" s="209" t="str">
        <f t="shared" si="4"/>
        <v/>
      </c>
      <c r="BE11" s="209">
        <f>RANK(BA11,BA$8:BA$11)</f>
        <v>3</v>
      </c>
      <c r="BF11" s="209">
        <f>SUMPRODUCT((BA$8:BA$11=BA11)*(AZ$8:AZ$11&gt;AZ11))</f>
        <v>0</v>
      </c>
      <c r="BG11" s="209">
        <f>SUMPRODUCT((BA$8:BA$11=BA11)*(BE$8:BE$11=BE11)*(AZ$8:AZ$11=AZ11)*(AQ$8:AQ$11&gt;AQ11))</f>
        <v>0</v>
      </c>
      <c r="BH11" s="209">
        <f>SUMPRODUCT((BA$8:BA$11=BA11)*(BE$8:BE$11=BE11)*(AZ$8:AZ$11=AZ11)*(AQ$8:AQ$11=AQ11)*(BB$8:BB$11&gt;BB11))</f>
        <v>0</v>
      </c>
      <c r="BI11" s="209">
        <f>SUMPRODUCT((BA$8:BA$11=BA11)*(BE$8:BE$11=BE11)*(AZ$8:AZ$11=AZ11)*(AQ$8:AQ$11=AQ11)*(BB$8:BB$11=BB11)*(BC$8:BC$11&gt;BC11))</f>
        <v>0</v>
      </c>
      <c r="BJ11" s="209">
        <f>SUMPRODUCT((BA$8:BA$11=BA11)*(BE$8:BE$11=BE11)*(AZ$8:AZ$11=AZ11)*(AQ$8:AQ$11=AQ11)*(BB$8:BB$11=BB11)*(BC$8:BC$11=BC11)*(BD$8:BD$11&gt;BD11))</f>
        <v>0</v>
      </c>
      <c r="BK11" s="209" t="str">
        <f>IF(AND(COUNTIF($AF$4:$AF$35,'Group Stages'!G17)&gt;0,COUNTIF($AF$4:$AF$35,'Group Stages'!M17)&gt;0,'Group Stages'!I17&lt;&gt;"",'Group Stages'!K17&lt;&gt;""),'Group Stages'!G17,"")</f>
        <v/>
      </c>
      <c r="BL11" s="209" t="str">
        <f>IF($BK11&lt;&gt;"",'Group Stages'!I17,"")</f>
        <v/>
      </c>
      <c r="BM11" s="209" t="str">
        <f>IF($BK11&lt;&gt;"",'Group Stages'!K17,"")</f>
        <v/>
      </c>
      <c r="BN11" s="209" t="str">
        <f>IF($BK11&lt;&gt;"",'Group Stages'!M17,"")</f>
        <v/>
      </c>
      <c r="BO11" s="209" t="str">
        <f t="shared" si="5"/>
        <v/>
      </c>
      <c r="BP11" s="209" t="str">
        <f t="shared" si="34"/>
        <v/>
      </c>
      <c r="BQ11" s="209">
        <f>VLOOKUP($AD11,$B$8:$W$11,22,FALSE)</f>
        <v>2</v>
      </c>
      <c r="BR11" s="209" t="str">
        <f t="shared" ref="BR11" si="55">IF(BR10&lt;&gt;"",AD11,"")</f>
        <v/>
      </c>
      <c r="BS11" s="217">
        <f>SUMPRODUCT(($CW$4:$CW$147='Dummy Table'!$BR11)*($CX$4:$CX$147&gt;$CY$4:$CY$147))</f>
        <v>0</v>
      </c>
      <c r="BT11" s="217">
        <f>SUMPRODUCT(($CW$4:$CW$147='Dummy Table'!$BR11)*($CX$4:$CX$147=$CY$4:$CY$147))</f>
        <v>142</v>
      </c>
      <c r="BU11" s="217">
        <f>SUMPRODUCT(($CW$4:$CW$147='Dummy Table'!$BR11)*($CX$4:$CX$147&lt;$CY$4:$CY$147))</f>
        <v>0</v>
      </c>
      <c r="BV11" s="217">
        <f>SUMIF($CW$4:$CW$147,'Dummy Table'!$BR11,$CX$4:$CX$147)</f>
        <v>0</v>
      </c>
      <c r="BW11" s="217">
        <f>SUMIF($CW$4:$CW$147,'Dummy Table'!$BR11,$CY$4:$CY$147)</f>
        <v>0</v>
      </c>
      <c r="BX11" s="217">
        <f t="shared" si="35"/>
        <v>0</v>
      </c>
      <c r="BY11" s="217" t="str">
        <f t="shared" si="36"/>
        <v/>
      </c>
      <c r="BZ11" s="217">
        <f>SUMPRODUCT(($CZ$4:$CZ$147='Dummy Table'!$BR11)*($CX$4:$CX$147&lt;$CY$4:$CY$147))</f>
        <v>0</v>
      </c>
      <c r="CA11" s="217">
        <f>SUMPRODUCT(($CZ$4:$CZ$147='Dummy Table'!$BR11)*($CX$4:$CX$147=$CY$4:$CY$147))</f>
        <v>142</v>
      </c>
      <c r="CB11" s="217">
        <f>SUMPRODUCT(($CZ$4:$CZ$147='Dummy Table'!$BR11)*($CX$4:$CX$147&gt;$CY$4:$CY$147))</f>
        <v>0</v>
      </c>
      <c r="CC11" s="217">
        <f>SUMIF($CZ$4:$CZ$147,'Dummy Table'!$BR11,$CY$4:$CY$147)</f>
        <v>0</v>
      </c>
      <c r="CD11" s="217">
        <f>SUMIF($CZ$4:$CZ$147,'Dummy Table'!$BR11,$CX$4:$CX$147)</f>
        <v>0</v>
      </c>
      <c r="CE11" s="217">
        <f t="shared" si="37"/>
        <v>0</v>
      </c>
      <c r="CF11" s="217" t="str">
        <f t="shared" si="38"/>
        <v/>
      </c>
      <c r="CG11" s="217">
        <f t="shared" si="39"/>
        <v>0</v>
      </c>
      <c r="CH11" s="217">
        <f t="shared" si="6"/>
        <v>284</v>
      </c>
      <c r="CI11" s="217">
        <f t="shared" si="7"/>
        <v>0</v>
      </c>
      <c r="CJ11" s="217">
        <f t="shared" si="8"/>
        <v>0</v>
      </c>
      <c r="CK11" s="217">
        <f t="shared" si="9"/>
        <v>0</v>
      </c>
      <c r="CL11" s="217">
        <f t="shared" si="10"/>
        <v>0</v>
      </c>
      <c r="CM11" s="217">
        <f t="shared" si="45"/>
        <v>-1</v>
      </c>
      <c r="CN11" s="210">
        <f t="shared" si="40"/>
        <v>18000</v>
      </c>
      <c r="CO11" s="210">
        <f>SUMIF($CZ$4:$CZ$147,'Dummy Table'!$BR11,$CY$4:$CY$147)*2</f>
        <v>0</v>
      </c>
      <c r="CP11" s="210">
        <f>RANK(CM11,CM$8:CM$11)</f>
        <v>1</v>
      </c>
      <c r="CR11" s="210">
        <f>SUMPRODUCT((CM$8:CM$11=CM11)*(CL$8:CL$11&gt;CL11))</f>
        <v>0</v>
      </c>
      <c r="CS11" s="210">
        <f>SUMPRODUCT((CP$8:CP$11=CP11)*(CR$8:CR$11=CR11)*(CO$8:CO$11&gt;CO11))</f>
        <v>0</v>
      </c>
      <c r="CT11" s="210">
        <f>IF(BR11&lt;&gt;"",SUMPRODUCT((CP$8:CP$11=CP11)*(CR$8:CR$11=CR11)*(CS$8:CS$11=CS11)*(V$8:V$11&gt;V11)),0)</f>
        <v>0</v>
      </c>
      <c r="CU11" s="210">
        <f t="shared" si="50"/>
        <v>0</v>
      </c>
      <c r="CV11" s="210">
        <f>SUMPRODUCT((CP$8:CP$11=CP11)*(CR$8:CR$11=CR11)*(CS$8:CS$11=CS11)*(CT$8:CT$11=CT11)*(CU$8:CU$11=CU11)*(CN$8:CN$11&gt;CN11))</f>
        <v>2</v>
      </c>
      <c r="CW11" s="209" t="str">
        <f>IF(AND(COUNTIF($BR$4:$BR$35,'Group Stages'!$G17)&gt;0,COUNTIF($BR$4:$BR$35,'Group Stages'!$M17)&gt;0),'Group Stages'!$G17,"")</f>
        <v/>
      </c>
      <c r="CX11" s="209" t="str">
        <f>IF($CW11&lt;&gt;"",'Group Stages'!$I17,"")</f>
        <v/>
      </c>
      <c r="CY11" s="209" t="str">
        <f>IF($CW11&lt;&gt;"",'Group Stages'!$K17,"")</f>
        <v/>
      </c>
      <c r="CZ11" s="209" t="str">
        <f>IF($CW11&lt;&gt;"",'Group Stages'!$M17,"")</f>
        <v/>
      </c>
      <c r="DA11" s="210" t="str">
        <f t="shared" si="11"/>
        <v/>
      </c>
      <c r="DB11" s="209" t="str">
        <f t="shared" si="43"/>
        <v/>
      </c>
      <c r="DC11" s="209">
        <v>4</v>
      </c>
      <c r="DD11" s="209" t="str">
        <f t="shared" si="47"/>
        <v>FC Lugano</v>
      </c>
      <c r="DE11" s="209" t="str">
        <f>IF(AND(DD11="",DD10="",DD9="",DD8=""),4,IF(AND(DD11="",DD10="",DD9=""),3,IF(AND(DD9&lt;&gt;"",DD10="",DD11=""),2,IF(AND(DD9&lt;&gt;"",DD10&lt;&gt;"",DD11=""),1,""))))</f>
        <v/>
      </c>
      <c r="DF11" s="209" t="str">
        <f>VLOOKUP(DE11,$BO$8:$BP$11,2,FALSE)</f>
        <v/>
      </c>
      <c r="DG11" s="209">
        <v>4</v>
      </c>
      <c r="DH11" s="209" t="str">
        <f t="shared" ref="DH11" si="56">IF(DB11&lt;&gt;"",IF(DA10&lt;DA11,DB11,DB10),IF(DF11&lt;&gt;"",DF11,DD11))</f>
        <v>FC Lugano</v>
      </c>
      <c r="DI11" s="209">
        <v>8</v>
      </c>
    </row>
    <row r="12" spans="1:113">
      <c r="A12" s="209">
        <f t="shared" si="12"/>
        <v>1</v>
      </c>
      <c r="B12" s="209" t="str">
        <f>'Team Setup'!B13</f>
        <v>FC Basel</v>
      </c>
      <c r="C12" s="210">
        <f>SUMPRODUCT(('Group Stages'!$I$10:$I$153&lt;&gt;"")*('Group Stages'!$K$10:$K$153&lt;&gt;"")*('Group Stages'!$G$10:$G$153='Dummy Table'!$B12)*('Group Stages'!$I$10:$I$153&gt;'Group Stages'!$K$10:$K$153))</f>
        <v>2</v>
      </c>
      <c r="D12" s="210">
        <f>SUMPRODUCT(('Group Stages'!$I$10:$I$153&lt;&gt;"")*('Group Stages'!$K$10:$K$153&lt;&gt;"")*('Group Stages'!$G$10:$G$153='Dummy Table'!$B12)*('Group Stages'!$I$10:$I$153='Group Stages'!$K$10:$K$153))</f>
        <v>0</v>
      </c>
      <c r="E12" s="210">
        <f>SUMPRODUCT(('Group Stages'!$I$10:$I$153&lt;&gt;"")*('Group Stages'!$K$10:$K$153&lt;&gt;"")*('Group Stages'!$G$10:$G$153='Dummy Table'!$B12)*('Group Stages'!$I$10:$I$153&lt;'Group Stages'!$K$10:$K$153))</f>
        <v>0</v>
      </c>
      <c r="F12" s="210">
        <f>SUMIF('Group Stages'!$G$10:$G$153,'Dummy Table'!$B12,'Group Stages'!$I$10:$I$153)</f>
        <v>0</v>
      </c>
      <c r="G12" s="210">
        <f>SUMIF('Group Stages'!$G$10:$G$153,'Dummy Table'!$B12,'Group Stages'!$K$10:$K$153)</f>
        <v>0</v>
      </c>
      <c r="H12" s="210">
        <f t="shared" si="13"/>
        <v>0</v>
      </c>
      <c r="I12" s="210">
        <f t="shared" si="14"/>
        <v>6</v>
      </c>
      <c r="J12" s="209">
        <f>SUMPRODUCT(('Group Stages'!$I$10:$I$153&lt;&gt;"")*('Group Stages'!$K$10:$K$153&lt;&gt;"")*('Group Stages'!$M$10:$M$153='Dummy Table'!$B12)*('Group Stages'!$I$10:$I$153&lt;'Group Stages'!$K$10:$K$153))</f>
        <v>1</v>
      </c>
      <c r="K12" s="209">
        <f>SUMPRODUCT(('Group Stages'!$I$10:$I$153&lt;&gt;"")*('Group Stages'!$K$10:$K$153&lt;&gt;"")*('Group Stages'!$M$10:$M$153='Dummy Table'!$B12)*('Group Stages'!$I$10:$I$153='Group Stages'!$K$10:$K$153))</f>
        <v>1</v>
      </c>
      <c r="L12" s="209">
        <f>SUMPRODUCT(('Group Stages'!$I$10:$I$153&lt;&gt;"")*('Group Stages'!$K$10:$K$153&lt;&gt;"")*('Group Stages'!$M$10:$M$153='Dummy Table'!$B12)*('Group Stages'!$I$10:$I$153&gt;'Group Stages'!$K$10:$K$153))</f>
        <v>0</v>
      </c>
      <c r="M12" s="209">
        <f>SUMIF('Group Stages'!$M$10:$M$153,'Dummy Table'!$B12,'Group Stages'!$K$10:$K$153)</f>
        <v>0</v>
      </c>
      <c r="N12" s="209">
        <f>SUMIF('Group Stages'!$M$10:$M$153,'Dummy Table'!$B12,'Group Stages'!$I$10:$I$153)</f>
        <v>0</v>
      </c>
      <c r="O12" s="209">
        <f t="shared" si="15"/>
        <v>0</v>
      </c>
      <c r="P12" s="209">
        <f t="shared" si="16"/>
        <v>4</v>
      </c>
      <c r="Q12" s="209">
        <f t="shared" si="17"/>
        <v>3</v>
      </c>
      <c r="R12" s="209">
        <f t="shared" si="18"/>
        <v>1</v>
      </c>
      <c r="S12" s="209">
        <f t="shared" si="19"/>
        <v>0</v>
      </c>
      <c r="T12" s="209">
        <f t="shared" si="20"/>
        <v>0</v>
      </c>
      <c r="U12" s="209">
        <f t="shared" si="21"/>
        <v>0</v>
      </c>
      <c r="V12" s="209">
        <f t="shared" si="22"/>
        <v>0</v>
      </c>
      <c r="W12" s="209">
        <f t="shared" si="23"/>
        <v>10</v>
      </c>
      <c r="X12" s="210">
        <f>IF('Team Setup'!F13&lt;&gt;"",'Team Setup'!F13,DI12)</f>
        <v>46500</v>
      </c>
      <c r="Y12" s="210">
        <f>RANK(W12,W$12:W$15)</f>
        <v>1</v>
      </c>
      <c r="Z12" s="210">
        <f>SUMPRODUCT((W$12:W$15=W12)*(V$12:V$15&gt;V12))</f>
        <v>0</v>
      </c>
      <c r="AA12" s="210">
        <f>SUMPRODUCT((Y$12:Y$15=Y12)*(Z$12:Z$15=Z12)*(T$12:T$15&gt;T12))</f>
        <v>0</v>
      </c>
      <c r="AB12" s="210">
        <f>SUMPRODUCT((Y$12:Y$15=Y12)*(Z$12:Z$15=Z12)*(T$12:T$15=T12)*(X$12:X$15&gt;X12))</f>
        <v>0</v>
      </c>
      <c r="AC12" s="209">
        <v>1</v>
      </c>
      <c r="AD12" s="209" t="str">
        <f>VLOOKUP(AC12,$A$12:$B$15,2,FALSE)</f>
        <v>FC Basel</v>
      </c>
      <c r="AE12" s="209">
        <f>VLOOKUP($AD12,$B$12:$W$15,22,FALSE)</f>
        <v>10</v>
      </c>
      <c r="AF12" s="209" t="str">
        <f t="shared" ref="AF12" si="57">IF(AE12=AE13,AD12,"")</f>
        <v/>
      </c>
      <c r="AG12" s="210">
        <f>SUMPRODUCT(($BK$4:$BK$147='Dummy Table'!$AF12)*($BL$4:$BL$147&gt;$BM$4:$BM$147))</f>
        <v>0</v>
      </c>
      <c r="AH12" s="210">
        <f>SUMPRODUCT(($BK$4:$BK$147='Dummy Table'!$AF12)*($BL$4:$BL$147=$BM$4:$BM$147))</f>
        <v>134</v>
      </c>
      <c r="AI12" s="210">
        <f>SUMPRODUCT(($BK$4:$BK$147='Dummy Table'!$AF12)*($BL$4:$BL$147&lt;$BM$4:$BM$147))</f>
        <v>0</v>
      </c>
      <c r="AJ12" s="210">
        <f>SUMIF($BK$4:$BK$147,'Dummy Table'!$AF12,$BL$4:$BL$147)</f>
        <v>0</v>
      </c>
      <c r="AK12" s="210">
        <f>SUMIF($BK$4:$BK$147,'Dummy Table'!$AF12,$BM$4:$BM$147)</f>
        <v>0</v>
      </c>
      <c r="AL12" s="210">
        <f t="shared" si="24"/>
        <v>0</v>
      </c>
      <c r="AM12" s="210" t="str">
        <f t="shared" si="25"/>
        <v/>
      </c>
      <c r="AN12" s="210">
        <f>SUMPRODUCT(($BN$4:$BN$147='Dummy Table'!$AF12)*($BL$4:$BL$147&lt;$BM$4:$BM$147))</f>
        <v>0</v>
      </c>
      <c r="AO12" s="210">
        <f>SUMPRODUCT(($BN$4:$BN$147='Dummy Table'!$AF12)*($BL$4:$BL$147=$BM$4:$BM$147))</f>
        <v>134</v>
      </c>
      <c r="AP12" s="210">
        <f>SUMPRODUCT(($BN$4:$BN$147='Dummy Table'!$AF12)*($BL$4:$BL$147&gt;$BM$4:$BM$147))</f>
        <v>0</v>
      </c>
      <c r="AQ12" s="210">
        <f>SUMIF($BN$4:$BN$147,'Dummy Table'!$AF12,$BM$4:$BM$147)</f>
        <v>0</v>
      </c>
      <c r="AR12" s="210">
        <f>SUMIF($BN$4:$BN$147,'Dummy Table'!$AF12,$BL$4:$BL$147)</f>
        <v>0</v>
      </c>
      <c r="AS12" s="210">
        <f t="shared" si="26"/>
        <v>0</v>
      </c>
      <c r="AT12" s="210" t="str">
        <f t="shared" si="27"/>
        <v/>
      </c>
      <c r="AU12" s="210">
        <f t="shared" si="28"/>
        <v>0</v>
      </c>
      <c r="AV12" s="210">
        <f t="shared" si="29"/>
        <v>268</v>
      </c>
      <c r="AW12" s="210">
        <f t="shared" si="30"/>
        <v>0</v>
      </c>
      <c r="AX12" s="210">
        <f t="shared" si="31"/>
        <v>0</v>
      </c>
      <c r="AY12" s="210">
        <f t="shared" si="32"/>
        <v>0</v>
      </c>
      <c r="AZ12" s="210">
        <f t="shared" si="33"/>
        <v>0</v>
      </c>
      <c r="BA12" s="210">
        <f t="shared" si="44"/>
        <v>-1</v>
      </c>
      <c r="BB12" s="209" t="str">
        <f t="shared" si="2"/>
        <v/>
      </c>
      <c r="BC12" s="209" t="str">
        <f t="shared" si="3"/>
        <v/>
      </c>
      <c r="BD12" s="209" t="str">
        <f t="shared" si="4"/>
        <v/>
      </c>
      <c r="BE12" s="209">
        <f>RANK(BA12,BA$12:BA$15)</f>
        <v>3</v>
      </c>
      <c r="BF12" s="209">
        <f>SUMPRODUCT((BA$12:BA$15=BA12)*(AZ$12:AZ$15&gt;AZ12))</f>
        <v>0</v>
      </c>
      <c r="BG12" s="209">
        <f>SUMPRODUCT((BA$12:BA$15=BA12)*(BE$12:BE$15=BE12)*(AZ$12:AZ$15=AZ12)*(AQ$12:AQ$15&gt;AQ12))</f>
        <v>0</v>
      </c>
      <c r="BH12" s="209">
        <f>SUMPRODUCT((BA$12:BA$15=BA12)*(BE$12:BE$15=BE12)*(AZ$12:AZ$15=AZ12)*(AQ$12:AQ$15=AQ12)*(BB$12:BB$15&gt;BB12))</f>
        <v>0</v>
      </c>
      <c r="BI12" s="209">
        <f>SUMPRODUCT((BA$12:BA$15=BA12)*(BE$12:BE$15=BE12)*(AZ$12:AZ$15=AZ12)*(AQ$12:AQ$15=AQ12)*(BB$12:BB$15=BB12)*(BC$12:BC$15&gt;BC12))</f>
        <v>0</v>
      </c>
      <c r="BJ12" s="209">
        <f>SUMPRODUCT((BA$12:BA$15=BA12)*(BE$12:BE$15=BE12)*(AZ$12:AZ$15=AZ12)*(AQ$12:AQ$15=AQ12)*(BB$12:BB$15=BB12)*(BC$12:BC$15=BC12)*(BD$12:BD$15&gt;BD12))</f>
        <v>0</v>
      </c>
      <c r="BK12" s="209" t="str">
        <f>IF(AND(COUNTIF($AF$4:$AF$35,'Group Stages'!G18)&gt;0,COUNTIF($AF$4:$AF$35,'Group Stages'!M18)&gt;0,'Group Stages'!I18&lt;&gt;"",'Group Stages'!K18&lt;&gt;""),'Group Stages'!G18,"")</f>
        <v/>
      </c>
      <c r="BL12" s="209" t="str">
        <f>IF($BK12&lt;&gt;"",'Group Stages'!I18,"")</f>
        <v/>
      </c>
      <c r="BM12" s="209" t="str">
        <f>IF($BK12&lt;&gt;"",'Group Stages'!K18,"")</f>
        <v/>
      </c>
      <c r="BN12" s="209" t="str">
        <f>IF($BK12&lt;&gt;"",'Group Stages'!M18,"")</f>
        <v/>
      </c>
      <c r="BO12" s="209" t="str">
        <f t="shared" si="5"/>
        <v/>
      </c>
      <c r="BP12" s="209" t="str">
        <f t="shared" si="34"/>
        <v/>
      </c>
      <c r="BQ12" s="209">
        <f>VLOOKUP($AD12,$B$12:$W$15,22,FALSE)</f>
        <v>10</v>
      </c>
      <c r="BS12" s="217">
        <f>SUMPRODUCT(($CW$4:$CW$147='Dummy Table'!$BR12)*($CX$4:$CX$147&gt;$CY$4:$CY$147))</f>
        <v>0</v>
      </c>
      <c r="BT12" s="217">
        <f>SUMPRODUCT(($CW$4:$CW$147='Dummy Table'!$BR12)*($CX$4:$CX$147=$CY$4:$CY$147))</f>
        <v>142</v>
      </c>
      <c r="BU12" s="217">
        <f>SUMPRODUCT(($CW$4:$CW$147='Dummy Table'!$BR12)*($CX$4:$CX$147&lt;$CY$4:$CY$147))</f>
        <v>0</v>
      </c>
      <c r="BV12" s="217">
        <f>SUMIF($CW$4:$CW$147,'Dummy Table'!$BR12,$CX$4:$CX$147)</f>
        <v>0</v>
      </c>
      <c r="BW12" s="217">
        <f>SUMIF($CW$4:$CW$147,'Dummy Table'!$BR12,$CY$4:$CY$147)</f>
        <v>0</v>
      </c>
      <c r="BX12" s="217">
        <f t="shared" si="35"/>
        <v>0</v>
      </c>
      <c r="BY12" s="217" t="str">
        <f t="shared" si="36"/>
        <v/>
      </c>
      <c r="BZ12" s="217">
        <f>SUMPRODUCT(($CZ$4:$CZ$147='Dummy Table'!$BR12)*($CX$4:$CX$147&lt;$CY$4:$CY$147))</f>
        <v>0</v>
      </c>
      <c r="CA12" s="217">
        <f>SUMPRODUCT(($CZ$4:$CZ$147='Dummy Table'!$BR12)*($CX$4:$CX$147=$CY$4:$CY$147))</f>
        <v>142</v>
      </c>
      <c r="CB12" s="217">
        <f>SUMPRODUCT(($CZ$4:$CZ$147='Dummy Table'!$BR12)*($CX$4:$CX$147&gt;$CY$4:$CY$147))</f>
        <v>0</v>
      </c>
      <c r="CC12" s="217">
        <f>SUMIF($CZ$4:$CZ$147,'Dummy Table'!$BR12,$CY$4:$CY$147)</f>
        <v>0</v>
      </c>
      <c r="CD12" s="217">
        <f>SUMIF($CZ$4:$CZ$147,'Dummy Table'!$BR12,$CX$4:$CX$147)</f>
        <v>0</v>
      </c>
      <c r="CE12" s="217">
        <f t="shared" si="37"/>
        <v>0</v>
      </c>
      <c r="CF12" s="217" t="str">
        <f t="shared" si="38"/>
        <v/>
      </c>
      <c r="CG12" s="217">
        <f t="shared" si="39"/>
        <v>0</v>
      </c>
      <c r="CH12" s="217">
        <f t="shared" si="6"/>
        <v>284</v>
      </c>
      <c r="CI12" s="217">
        <f t="shared" si="7"/>
        <v>0</v>
      </c>
      <c r="CJ12" s="217">
        <f t="shared" si="8"/>
        <v>0</v>
      </c>
      <c r="CK12" s="217">
        <f t="shared" si="9"/>
        <v>0</v>
      </c>
      <c r="CL12" s="217">
        <f t="shared" si="10"/>
        <v>0</v>
      </c>
      <c r="CM12" s="217">
        <f t="shared" si="45"/>
        <v>-1</v>
      </c>
      <c r="CN12" s="210">
        <f t="shared" si="40"/>
        <v>46500</v>
      </c>
      <c r="CO12" s="210">
        <f>SUMIF($CZ$4:$CZ$147,'Dummy Table'!$BR12,$CY$4:$CY$147)*2</f>
        <v>0</v>
      </c>
      <c r="CP12" s="210">
        <f>RANK(CM12,CM$12:CM$15)</f>
        <v>1</v>
      </c>
      <c r="CR12" s="210">
        <f>SUMPRODUCT((CM$12:CM$15=CM12)*(CL$12:CL$15&gt;CL12))</f>
        <v>0</v>
      </c>
      <c r="CS12" s="210">
        <f>SUMPRODUCT((CP$12:CP$15=CP12)*(CR$12:CR$15=CR12)*(CO$12:CO$15&gt;CO12))</f>
        <v>0</v>
      </c>
      <c r="CT12" s="210">
        <f>IF(BR12&lt;&gt;"",SUMPRODUCT((CP$12:CP$15=CP12)*(CR$12:CR$15=CR12)*(CS$12:CS$15=CS12)*(V$12:V$15&gt;V12)),0)</f>
        <v>0</v>
      </c>
      <c r="CU12" s="210">
        <f>IF($BR12&lt;&gt;"",SUMPRODUCT((CP$12:CP$15=CP12)*(CR$12:CR$15=CR12)*(CS$12:CS$15=CS12)*(CT$12:CT$15=CT12)*(T$12:T$15&gt;T12)),0)</f>
        <v>0</v>
      </c>
      <c r="CV12" s="210">
        <f>SUMPRODUCT((CP$12:CP$15=CP12)*(CR$12:CR$15=CR12)*(CS$12:CS$15=CS12)*(CT$12:CT$15=CT12)*(CU$12:CU$15=CU12)*(CN$12:CN$15&gt;CN12))</f>
        <v>0</v>
      </c>
      <c r="CW12" s="209" t="str">
        <f>IF(AND(COUNTIF($BR$4:$BR$35,'Group Stages'!$G18)&gt;0,COUNTIF($BR$4:$BR$35,'Group Stages'!$M18)&gt;0),'Group Stages'!$G18,"")</f>
        <v/>
      </c>
      <c r="CX12" s="209" t="str">
        <f>IF($CW12&lt;&gt;"",'Group Stages'!$I18,"")</f>
        <v/>
      </c>
      <c r="CY12" s="209" t="str">
        <f>IF($CW12&lt;&gt;"",'Group Stages'!$K18,"")</f>
        <v/>
      </c>
      <c r="CZ12" s="209" t="str">
        <f>IF($CW12&lt;&gt;"",'Group Stages'!$M18,"")</f>
        <v/>
      </c>
      <c r="DA12" s="210" t="str">
        <f t="shared" si="11"/>
        <v/>
      </c>
      <c r="DB12" s="209" t="str">
        <f t="shared" si="43"/>
        <v/>
      </c>
      <c r="DC12" s="209">
        <v>1</v>
      </c>
      <c r="DD12" s="209" t="str">
        <f t="shared" si="47"/>
        <v>FC Basel</v>
      </c>
      <c r="DE12" s="209" t="str">
        <f t="shared" ref="DE12" si="58">IF(DD12="",DC12,"")</f>
        <v/>
      </c>
      <c r="DF12" s="209" t="str">
        <f>VLOOKUP(DE12,$BO$12:$BP$15,2,FALSE)</f>
        <v/>
      </c>
      <c r="DG12" s="209">
        <v>1</v>
      </c>
      <c r="DH12" s="209" t="str">
        <f t="shared" ref="DH12:DH13" si="59">IF(DD12="",DF12,DD12)</f>
        <v>FC Basel</v>
      </c>
      <c r="DI12" s="209">
        <v>9</v>
      </c>
    </row>
    <row r="13" spans="1:113">
      <c r="A13" s="209">
        <f t="shared" si="12"/>
        <v>3</v>
      </c>
      <c r="B13" s="209" t="str">
        <f>'Team Setup'!B14</f>
        <v>Getafe CF</v>
      </c>
      <c r="C13" s="210">
        <f>SUMPRODUCT(('Group Stages'!$I$10:$I$153&lt;&gt;"")*('Group Stages'!$K$10:$K$153&lt;&gt;"")*('Group Stages'!$G$10:$G$153='Dummy Table'!$B13)*('Group Stages'!$I$10:$I$153&gt;'Group Stages'!$K$10:$K$153))</f>
        <v>1</v>
      </c>
      <c r="D13" s="210">
        <f>SUMPRODUCT(('Group Stages'!$I$10:$I$153&lt;&gt;"")*('Group Stages'!$K$10:$K$153&lt;&gt;"")*('Group Stages'!$G$10:$G$153='Dummy Table'!$B13)*('Group Stages'!$I$10:$I$153='Group Stages'!$K$10:$K$153))</f>
        <v>0</v>
      </c>
      <c r="E13" s="210">
        <f>SUMPRODUCT(('Group Stages'!$I$10:$I$153&lt;&gt;"")*('Group Stages'!$K$10:$K$153&lt;&gt;"")*('Group Stages'!$G$10:$G$153='Dummy Table'!$B13)*('Group Stages'!$I$10:$I$153&lt;'Group Stages'!$K$10:$K$153))</f>
        <v>1</v>
      </c>
      <c r="F13" s="210">
        <f>SUMIF('Group Stages'!$G$10:$G$153,'Dummy Table'!$B13,'Group Stages'!$I$10:$I$153)</f>
        <v>0</v>
      </c>
      <c r="G13" s="210">
        <f>SUMIF('Group Stages'!$G$10:$G$153,'Dummy Table'!$B13,'Group Stages'!$K$10:$K$153)</f>
        <v>0</v>
      </c>
      <c r="H13" s="210">
        <f t="shared" si="13"/>
        <v>0</v>
      </c>
      <c r="I13" s="210">
        <f t="shared" si="14"/>
        <v>3</v>
      </c>
      <c r="J13" s="209">
        <f>SUMPRODUCT(('Group Stages'!$I$10:$I$153&lt;&gt;"")*('Group Stages'!$K$10:$K$153&lt;&gt;"")*('Group Stages'!$M$10:$M$153='Dummy Table'!$B13)*('Group Stages'!$I$10:$I$153&lt;'Group Stages'!$K$10:$K$153))</f>
        <v>1</v>
      </c>
      <c r="K13" s="209">
        <f>SUMPRODUCT(('Group Stages'!$I$10:$I$153&lt;&gt;"")*('Group Stages'!$K$10:$K$153&lt;&gt;"")*('Group Stages'!$M$10:$M$153='Dummy Table'!$B13)*('Group Stages'!$I$10:$I$153='Group Stages'!$K$10:$K$153))</f>
        <v>0</v>
      </c>
      <c r="L13" s="209">
        <f>SUMPRODUCT(('Group Stages'!$I$10:$I$153&lt;&gt;"")*('Group Stages'!$K$10:$K$153&lt;&gt;"")*('Group Stages'!$M$10:$M$153='Dummy Table'!$B13)*('Group Stages'!$I$10:$I$153&gt;'Group Stages'!$K$10:$K$153))</f>
        <v>1</v>
      </c>
      <c r="M13" s="209">
        <f>SUMIF('Group Stages'!$M$10:$M$153,'Dummy Table'!$B13,'Group Stages'!$K$10:$K$153)</f>
        <v>0</v>
      </c>
      <c r="N13" s="209">
        <f>SUMIF('Group Stages'!$M$10:$M$153,'Dummy Table'!$B13,'Group Stages'!$I$10:$I$153)</f>
        <v>0</v>
      </c>
      <c r="O13" s="209">
        <f t="shared" si="15"/>
        <v>0</v>
      </c>
      <c r="P13" s="209">
        <f t="shared" si="16"/>
        <v>3</v>
      </c>
      <c r="Q13" s="209">
        <f t="shared" si="17"/>
        <v>2</v>
      </c>
      <c r="R13" s="209">
        <f t="shared" si="18"/>
        <v>0</v>
      </c>
      <c r="S13" s="209">
        <f t="shared" si="19"/>
        <v>2</v>
      </c>
      <c r="T13" s="209">
        <f t="shared" si="20"/>
        <v>0</v>
      </c>
      <c r="U13" s="209">
        <f t="shared" si="21"/>
        <v>0</v>
      </c>
      <c r="V13" s="209">
        <f t="shared" si="22"/>
        <v>0</v>
      </c>
      <c r="W13" s="209">
        <f t="shared" si="23"/>
        <v>6</v>
      </c>
      <c r="X13" s="210">
        <f>IF('Team Setup'!F14&lt;&gt;"",'Team Setup'!F14,DI13)</f>
        <v>4000</v>
      </c>
      <c r="Y13" s="210">
        <f>RANK(W13,W$12:W$15)</f>
        <v>2</v>
      </c>
      <c r="Z13" s="210">
        <f>SUMPRODUCT((W$12:W$15=W13)*(V$12:V$15&gt;V13))</f>
        <v>0</v>
      </c>
      <c r="AA13" s="210">
        <f>SUMPRODUCT((Y$12:Y$15=Y13)*(Z$12:Z$15=Z13)*(T$12:T$15&gt;T13))</f>
        <v>0</v>
      </c>
      <c r="AB13" s="210">
        <f>SUMPRODUCT((Y$12:Y$15=Y13)*(Z$12:Z$15=Z13)*(T$12:T$15=T13)*(X$12:X$15&gt;X13))</f>
        <v>1</v>
      </c>
      <c r="AC13" s="209">
        <v>2</v>
      </c>
      <c r="AD13" s="209" t="str">
        <f>VLOOKUP(AC13,$A$12:$B$15,2,FALSE)</f>
        <v>FK Krasnodar</v>
      </c>
      <c r="AE13" s="209">
        <f>VLOOKUP($AD13,$B$12:$W$15,22,FALSE)</f>
        <v>6</v>
      </c>
      <c r="AF13" s="209" t="str">
        <f t="shared" ref="AF13" si="60">IF(OR(AE13=AE12,AE13=AE14),AD13,"")</f>
        <v>FK Krasnodar</v>
      </c>
      <c r="AG13" s="210">
        <f>SUMPRODUCT(($BK$4:$BK$147='Dummy Table'!$AF13)*($BL$4:$BL$147&gt;$BM$4:$BM$147))</f>
        <v>0</v>
      </c>
      <c r="AH13" s="210">
        <f>SUMPRODUCT(($BK$4:$BK$147='Dummy Table'!$AF13)*($BL$4:$BL$147=$BM$4:$BM$147))</f>
        <v>0</v>
      </c>
      <c r="AI13" s="210">
        <f>SUMPRODUCT(($BK$4:$BK$147='Dummy Table'!$AF13)*($BL$4:$BL$147&lt;$BM$4:$BM$147))</f>
        <v>1</v>
      </c>
      <c r="AJ13" s="210">
        <f>SUMIF($BK$4:$BK$147,'Dummy Table'!$AF13,$BL$4:$BL$147)</f>
        <v>0</v>
      </c>
      <c r="AK13" s="210">
        <f>SUMIF($BK$4:$BK$147,'Dummy Table'!$AF13,$BM$4:$BM$147)</f>
        <v>0</v>
      </c>
      <c r="AL13" s="210">
        <f t="shared" si="24"/>
        <v>0</v>
      </c>
      <c r="AM13" s="210">
        <f t="shared" si="25"/>
        <v>0</v>
      </c>
      <c r="AN13" s="210">
        <f>SUMPRODUCT(($BN$4:$BN$147='Dummy Table'!$AF13)*($BL$4:$BL$147&lt;$BM$4:$BM$147))</f>
        <v>0</v>
      </c>
      <c r="AO13" s="210">
        <f>SUMPRODUCT(($BN$4:$BN$147='Dummy Table'!$AF13)*($BL$4:$BL$147=$BM$4:$BM$147))</f>
        <v>0</v>
      </c>
      <c r="AP13" s="210">
        <f>SUMPRODUCT(($BN$4:$BN$147='Dummy Table'!$AF13)*($BL$4:$BL$147&gt;$BM$4:$BM$147))</f>
        <v>0</v>
      </c>
      <c r="AQ13" s="210">
        <f>SUMIF($BN$4:$BN$147,'Dummy Table'!$AF13,$BM$4:$BM$147)</f>
        <v>0</v>
      </c>
      <c r="AR13" s="210">
        <f>SUMIF($BN$4:$BN$147,'Dummy Table'!$AF13,$BL$4:$BL$147)</f>
        <v>0</v>
      </c>
      <c r="AS13" s="210">
        <f t="shared" si="26"/>
        <v>0</v>
      </c>
      <c r="AT13" s="210">
        <f t="shared" si="27"/>
        <v>0</v>
      </c>
      <c r="AU13" s="210">
        <f t="shared" si="28"/>
        <v>0</v>
      </c>
      <c r="AV13" s="210">
        <f t="shared" si="29"/>
        <v>0</v>
      </c>
      <c r="AW13" s="210">
        <f t="shared" si="30"/>
        <v>1</v>
      </c>
      <c r="AX13" s="210">
        <f t="shared" si="31"/>
        <v>0</v>
      </c>
      <c r="AY13" s="210">
        <f t="shared" si="32"/>
        <v>0</v>
      </c>
      <c r="AZ13" s="210">
        <f t="shared" si="33"/>
        <v>0</v>
      </c>
      <c r="BA13" s="210">
        <f t="shared" si="44"/>
        <v>0</v>
      </c>
      <c r="BB13" s="209">
        <f t="shared" si="2"/>
        <v>0</v>
      </c>
      <c r="BC13" s="209">
        <f t="shared" si="3"/>
        <v>0</v>
      </c>
      <c r="BD13" s="209">
        <f t="shared" si="4"/>
        <v>33500</v>
      </c>
      <c r="BE13" s="209">
        <f>RANK(BA13,BA$12:BA$15)</f>
        <v>2</v>
      </c>
      <c r="BF13" s="209">
        <f>SUMPRODUCT((BA$12:BA$15=BA13)*(AZ$12:AZ$15&gt;AZ13))</f>
        <v>0</v>
      </c>
      <c r="BG13" s="209">
        <f>SUMPRODUCT((BA$12:BA$15=BA13)*(BE$12:BE$15=BE13)*(AZ$12:AZ$15=AZ13)*(AQ$12:AQ$15&gt;AQ13))</f>
        <v>0</v>
      </c>
      <c r="BH13" s="209">
        <f>SUMPRODUCT((BA$12:BA$15=BA13)*(BE$12:BE$15=BE13)*(AZ$12:AZ$15=AZ13)*(AQ$12:AQ$15=AQ13)*(BB$12:BB$15&gt;BB13))</f>
        <v>0</v>
      </c>
      <c r="BI13" s="209">
        <f>SUMPRODUCT((BA$12:BA$15=BA13)*(BE$12:BE$15=BE13)*(AZ$12:AZ$15=AZ13)*(AQ$12:AQ$15=AQ13)*(BB$12:BB$15=BB13)*(BC$12:BC$15&gt;BC13))</f>
        <v>0</v>
      </c>
      <c r="BJ13" s="209">
        <f>SUMPRODUCT((BA$12:BA$15=BA13)*(BE$12:BE$15=BE13)*(AZ$12:AZ$15=AZ13)*(AQ$12:AQ$15=AQ13)*(BB$12:BB$15=BB13)*(BC$12:BC$15=BC13)*(BD$12:BD$15&gt;BD13))</f>
        <v>0</v>
      </c>
      <c r="BK13" s="209" t="str">
        <f>IF(AND(COUNTIF($AF$4:$AF$35,'Group Stages'!G19)&gt;0,COUNTIF($AF$4:$AF$35,'Group Stages'!M19)&gt;0,'Group Stages'!I19&lt;&gt;"",'Group Stages'!K19&lt;&gt;""),'Group Stages'!G19,"")</f>
        <v/>
      </c>
      <c r="BL13" s="209" t="str">
        <f>IF($BK13&lt;&gt;"",'Group Stages'!I19,"")</f>
        <v/>
      </c>
      <c r="BM13" s="209" t="str">
        <f>IF($BK13&lt;&gt;"",'Group Stages'!K19,"")</f>
        <v/>
      </c>
      <c r="BN13" s="209" t="str">
        <f>IF($BK13&lt;&gt;"",'Group Stages'!M19,"")</f>
        <v/>
      </c>
      <c r="BO13" s="209">
        <f t="shared" si="5"/>
        <v>2</v>
      </c>
      <c r="BP13" s="209" t="str">
        <f t="shared" si="34"/>
        <v>FK Krasnodar</v>
      </c>
      <c r="BQ13" s="209">
        <f>VLOOKUP($AD13,$B$12:$W$15,22,FALSE)</f>
        <v>6</v>
      </c>
      <c r="BS13" s="217">
        <f>SUMPRODUCT(($CW$4:$CW$147='Dummy Table'!$BR13)*($CX$4:$CX$147&gt;$CY$4:$CY$147))</f>
        <v>0</v>
      </c>
      <c r="BT13" s="217">
        <f>SUMPRODUCT(($CW$4:$CW$147='Dummy Table'!$BR13)*($CX$4:$CX$147=$CY$4:$CY$147))</f>
        <v>142</v>
      </c>
      <c r="BU13" s="217">
        <f>SUMPRODUCT(($CW$4:$CW$147='Dummy Table'!$BR13)*($CX$4:$CX$147&lt;$CY$4:$CY$147))</f>
        <v>0</v>
      </c>
      <c r="BV13" s="217">
        <f>SUMIF($CW$4:$CW$147,'Dummy Table'!$BR13,$CX$4:$CX$147)</f>
        <v>0</v>
      </c>
      <c r="BW13" s="217">
        <f>SUMIF($CW$4:$CW$147,'Dummy Table'!$BR13,$CY$4:$CY$147)</f>
        <v>0</v>
      </c>
      <c r="BX13" s="217">
        <f t="shared" si="35"/>
        <v>0</v>
      </c>
      <c r="BY13" s="217" t="str">
        <f t="shared" si="36"/>
        <v/>
      </c>
      <c r="BZ13" s="217">
        <f>SUMPRODUCT(($CZ$4:$CZ$147='Dummy Table'!$BR13)*($CX$4:$CX$147&lt;$CY$4:$CY$147))</f>
        <v>0</v>
      </c>
      <c r="CA13" s="217">
        <f>SUMPRODUCT(($CZ$4:$CZ$147='Dummy Table'!$BR13)*($CX$4:$CX$147=$CY$4:$CY$147))</f>
        <v>142</v>
      </c>
      <c r="CB13" s="217">
        <f>SUMPRODUCT(($CZ$4:$CZ$147='Dummy Table'!$BR13)*($CX$4:$CX$147&gt;$CY$4:$CY$147))</f>
        <v>0</v>
      </c>
      <c r="CC13" s="217">
        <f>SUMIF($CZ$4:$CZ$147,'Dummy Table'!$BR13,$CY$4:$CY$147)</f>
        <v>0</v>
      </c>
      <c r="CD13" s="217">
        <f>SUMIF($CZ$4:$CZ$147,'Dummy Table'!$BR13,$CX$4:$CX$147)</f>
        <v>0</v>
      </c>
      <c r="CE13" s="217">
        <f t="shared" si="37"/>
        <v>0</v>
      </c>
      <c r="CF13" s="217" t="str">
        <f t="shared" si="38"/>
        <v/>
      </c>
      <c r="CG13" s="217">
        <f t="shared" si="39"/>
        <v>0</v>
      </c>
      <c r="CH13" s="217">
        <f t="shared" si="6"/>
        <v>284</v>
      </c>
      <c r="CI13" s="217">
        <f t="shared" si="7"/>
        <v>0</v>
      </c>
      <c r="CJ13" s="217">
        <f t="shared" si="8"/>
        <v>0</v>
      </c>
      <c r="CK13" s="217">
        <f t="shared" si="9"/>
        <v>0</v>
      </c>
      <c r="CL13" s="217">
        <f t="shared" si="10"/>
        <v>0</v>
      </c>
      <c r="CM13" s="217">
        <f t="shared" si="45"/>
        <v>-1</v>
      </c>
      <c r="CN13" s="210">
        <f t="shared" si="40"/>
        <v>4000</v>
      </c>
      <c r="CO13" s="210">
        <f>SUMIF($CZ$4:$CZ$147,'Dummy Table'!$BR13,$CY$4:$CY$147)*2</f>
        <v>0</v>
      </c>
      <c r="CP13" s="210">
        <f>RANK(CM13,CM$12:CM$15)</f>
        <v>1</v>
      </c>
      <c r="CR13" s="210">
        <f>SUMPRODUCT((CM$12:CM$15=CM13)*(CL$12:CL$15&gt;CL13))</f>
        <v>0</v>
      </c>
      <c r="CS13" s="210">
        <f>SUMPRODUCT((CP$12:CP$15=CP13)*(CR$12:CR$15=CR13)*(CO$12:CO$15&gt;CO13))</f>
        <v>0</v>
      </c>
      <c r="CT13" s="210">
        <f>IF(BR13&lt;&gt;"",SUMPRODUCT((CP$12:CP$15=CP13)*(CR$12:CR$15=CR13)*(CS$12:CS$15=CS13)*(V$12:V$15&gt;V13)),0)</f>
        <v>0</v>
      </c>
      <c r="CU13" s="210">
        <f t="shared" ref="CU13:CU15" si="61">IF($BR13&lt;&gt;"",SUMPRODUCT((CP$12:CP$15=CP13)*(CR$12:CR$15=CR13)*(CS$12:CS$15=CS13)*(CT$12:CT$15=CT13)*(T$12:T$15&gt;T13)),0)</f>
        <v>0</v>
      </c>
      <c r="CV13" s="210">
        <f>SUMPRODUCT((CP$12:CP$15=CP13)*(CR$12:CR$15=CR13)*(CS$12:CS$15=CS13)*(CT$12:CT$15=CT13)*(CU$12:CU$15=CU13)*(CN$12:CN$15&gt;CN13))</f>
        <v>2</v>
      </c>
      <c r="CW13" s="209" t="str">
        <f>IF(AND(COUNTIF($BR$4:$BR$35,'Group Stages'!$G19)&gt;0,COUNTIF($BR$4:$BR$35,'Group Stages'!$M19)&gt;0),'Group Stages'!$G19,"")</f>
        <v/>
      </c>
      <c r="CX13" s="209" t="str">
        <f>IF($CW13&lt;&gt;"",'Group Stages'!$I19,"")</f>
        <v/>
      </c>
      <c r="CY13" s="209" t="str">
        <f>IF($CW13&lt;&gt;"",'Group Stages'!$K19,"")</f>
        <v/>
      </c>
      <c r="CZ13" s="209" t="str">
        <f>IF($CW13&lt;&gt;"",'Group Stages'!$M19,"")</f>
        <v/>
      </c>
      <c r="DA13" s="210" t="str">
        <f t="shared" si="11"/>
        <v/>
      </c>
      <c r="DB13" s="209" t="str">
        <f t="shared" si="43"/>
        <v/>
      </c>
      <c r="DC13" s="209">
        <v>2</v>
      </c>
      <c r="DD13" s="209" t="str">
        <f t="shared" si="47"/>
        <v/>
      </c>
      <c r="DE13" s="209">
        <f t="shared" ref="DE13" si="62">IF(AND(DD13="",DD12=""),DC13,IF(AND(DD12&lt;&gt;"",DD13=""),1,""))</f>
        <v>1</v>
      </c>
      <c r="DF13" s="209" t="str">
        <f>VLOOKUP(DE13,$BO$12:$BP$15,2,FALSE)</f>
        <v>Getafe CF</v>
      </c>
      <c r="DG13" s="209">
        <v>2</v>
      </c>
      <c r="DH13" s="209" t="str">
        <f t="shared" si="59"/>
        <v>Getafe CF</v>
      </c>
      <c r="DI13" s="209">
        <v>10</v>
      </c>
    </row>
    <row r="14" spans="1:113">
      <c r="A14" s="209">
        <f t="shared" si="12"/>
        <v>4</v>
      </c>
      <c r="B14" s="209" t="str">
        <f>'Team Setup'!B15</f>
        <v>Trabzonspor</v>
      </c>
      <c r="C14" s="210">
        <f>SUMPRODUCT(('Group Stages'!$I$10:$I$153&lt;&gt;"")*('Group Stages'!$K$10:$K$153&lt;&gt;"")*('Group Stages'!$G$10:$G$153='Dummy Table'!$B14)*('Group Stages'!$I$10:$I$153&gt;'Group Stages'!$K$10:$K$153))</f>
        <v>0</v>
      </c>
      <c r="D14" s="210">
        <f>SUMPRODUCT(('Group Stages'!$I$10:$I$153&lt;&gt;"")*('Group Stages'!$K$10:$K$153&lt;&gt;"")*('Group Stages'!$G$10:$G$153='Dummy Table'!$B14)*('Group Stages'!$I$10:$I$153='Group Stages'!$K$10:$K$153))</f>
        <v>1</v>
      </c>
      <c r="E14" s="210">
        <f>SUMPRODUCT(('Group Stages'!$I$10:$I$153&lt;&gt;"")*('Group Stages'!$K$10:$K$153&lt;&gt;"")*('Group Stages'!$G$10:$G$153='Dummy Table'!$B14)*('Group Stages'!$I$10:$I$153&lt;'Group Stages'!$K$10:$K$153))</f>
        <v>1</v>
      </c>
      <c r="F14" s="210">
        <f>SUMIF('Group Stages'!$G$10:$G$153,'Dummy Table'!$B14,'Group Stages'!$I$10:$I$153)</f>
        <v>0</v>
      </c>
      <c r="G14" s="210">
        <f>SUMIF('Group Stages'!$G$10:$G$153,'Dummy Table'!$B14,'Group Stages'!$K$10:$K$153)</f>
        <v>0</v>
      </c>
      <c r="H14" s="210">
        <f t="shared" si="13"/>
        <v>0</v>
      </c>
      <c r="I14" s="210">
        <f t="shared" si="14"/>
        <v>1</v>
      </c>
      <c r="J14" s="209">
        <f>SUMPRODUCT(('Group Stages'!$I$10:$I$153&lt;&gt;"")*('Group Stages'!$K$10:$K$153&lt;&gt;"")*('Group Stages'!$M$10:$M$153='Dummy Table'!$B14)*('Group Stages'!$I$10:$I$153&lt;'Group Stages'!$K$10:$K$153))</f>
        <v>0</v>
      </c>
      <c r="K14" s="209">
        <f>SUMPRODUCT(('Group Stages'!$I$10:$I$153&lt;&gt;"")*('Group Stages'!$K$10:$K$153&lt;&gt;"")*('Group Stages'!$M$10:$M$153='Dummy Table'!$B14)*('Group Stages'!$I$10:$I$153='Group Stages'!$K$10:$K$153))</f>
        <v>0</v>
      </c>
      <c r="L14" s="209">
        <f>SUMPRODUCT(('Group Stages'!$I$10:$I$153&lt;&gt;"")*('Group Stages'!$K$10:$K$153&lt;&gt;"")*('Group Stages'!$M$10:$M$153='Dummy Table'!$B14)*('Group Stages'!$I$10:$I$153&gt;'Group Stages'!$K$10:$K$153))</f>
        <v>2</v>
      </c>
      <c r="M14" s="209">
        <f>SUMIF('Group Stages'!$M$10:$M$153,'Dummy Table'!$B14,'Group Stages'!$K$10:$K$153)</f>
        <v>0</v>
      </c>
      <c r="N14" s="209">
        <f>SUMIF('Group Stages'!$M$10:$M$153,'Dummy Table'!$B14,'Group Stages'!$I$10:$I$153)</f>
        <v>0</v>
      </c>
      <c r="O14" s="209">
        <f t="shared" si="15"/>
        <v>0</v>
      </c>
      <c r="P14" s="209">
        <f t="shared" si="16"/>
        <v>0</v>
      </c>
      <c r="Q14" s="209">
        <f t="shared" si="17"/>
        <v>0</v>
      </c>
      <c r="R14" s="209">
        <f t="shared" si="18"/>
        <v>1</v>
      </c>
      <c r="S14" s="209">
        <f t="shared" si="19"/>
        <v>3</v>
      </c>
      <c r="T14" s="209">
        <f t="shared" si="20"/>
        <v>0</v>
      </c>
      <c r="U14" s="209">
        <f t="shared" si="21"/>
        <v>0</v>
      </c>
      <c r="V14" s="209">
        <f t="shared" si="22"/>
        <v>0</v>
      </c>
      <c r="W14" s="209">
        <f t="shared" si="23"/>
        <v>1</v>
      </c>
      <c r="X14" s="210">
        <f>IF('Team Setup'!F15&lt;&gt;"",'Team Setup'!F15,DI14)</f>
        <v>2000</v>
      </c>
      <c r="Y14" s="210">
        <f>RANK(W14,W$12:W$15)</f>
        <v>4</v>
      </c>
      <c r="Z14" s="210">
        <f>SUMPRODUCT((W$12:W$15=W14)*(V$12:V$15&gt;V14))</f>
        <v>0</v>
      </c>
      <c r="AA14" s="210">
        <f>SUMPRODUCT((Y$12:Y$15=Y14)*(Z$12:Z$15=Z14)*(T$12:T$15&gt;T14))</f>
        <v>0</v>
      </c>
      <c r="AB14" s="210">
        <f>SUMPRODUCT((Y$12:Y$15=Y14)*(Z$12:Z$15=Z14)*(T$12:T$15=T14)*(X$12:X$15&gt;X14))</f>
        <v>0</v>
      </c>
      <c r="AC14" s="209">
        <v>3</v>
      </c>
      <c r="AD14" s="209" t="str">
        <f>VLOOKUP(AC14,$A$12:$B$15,2,FALSE)</f>
        <v>Getafe CF</v>
      </c>
      <c r="AE14" s="209">
        <f>VLOOKUP($AD14,$B$12:$W$15,22,FALSE)</f>
        <v>6</v>
      </c>
      <c r="AF14" s="209" t="str">
        <f t="shared" ref="AF14" si="63">IF(AE14=AE13,AD14,"")</f>
        <v>Getafe CF</v>
      </c>
      <c r="AG14" s="210">
        <f>SUMPRODUCT(($BK$4:$BK$147='Dummy Table'!$AF14)*($BL$4:$BL$147&gt;$BM$4:$BM$147))</f>
        <v>0</v>
      </c>
      <c r="AH14" s="210">
        <f>SUMPRODUCT(($BK$4:$BK$147='Dummy Table'!$AF14)*($BL$4:$BL$147=$BM$4:$BM$147))</f>
        <v>0</v>
      </c>
      <c r="AI14" s="210">
        <f>SUMPRODUCT(($BK$4:$BK$147='Dummy Table'!$AF14)*($BL$4:$BL$147&lt;$BM$4:$BM$147))</f>
        <v>0</v>
      </c>
      <c r="AJ14" s="210">
        <f>SUMIF($BK$4:$BK$147,'Dummy Table'!$AF14,$BL$4:$BL$147)</f>
        <v>0</v>
      </c>
      <c r="AK14" s="210">
        <f>SUMIF($BK$4:$BK$147,'Dummy Table'!$AF14,$BM$4:$BM$147)</f>
        <v>0</v>
      </c>
      <c r="AL14" s="210">
        <f t="shared" si="24"/>
        <v>0</v>
      </c>
      <c r="AM14" s="210">
        <f t="shared" si="25"/>
        <v>0</v>
      </c>
      <c r="AN14" s="210">
        <f>SUMPRODUCT(($BN$4:$BN$147='Dummy Table'!$AF14)*($BL$4:$BL$147&lt;$BM$4:$BM$147))</f>
        <v>1</v>
      </c>
      <c r="AO14" s="210">
        <f>SUMPRODUCT(($BN$4:$BN$147='Dummy Table'!$AF14)*($BL$4:$BL$147=$BM$4:$BM$147))</f>
        <v>0</v>
      </c>
      <c r="AP14" s="210">
        <f>SUMPRODUCT(($BN$4:$BN$147='Dummy Table'!$AF14)*($BL$4:$BL$147&gt;$BM$4:$BM$147))</f>
        <v>0</v>
      </c>
      <c r="AQ14" s="210">
        <f>SUMIF($BN$4:$BN$147,'Dummy Table'!$AF14,$BM$4:$BM$147)</f>
        <v>0</v>
      </c>
      <c r="AR14" s="210">
        <f>SUMIF($BN$4:$BN$147,'Dummy Table'!$AF14,$BL$4:$BL$147)</f>
        <v>0</v>
      </c>
      <c r="AS14" s="210">
        <f t="shared" si="26"/>
        <v>0</v>
      </c>
      <c r="AT14" s="210">
        <f t="shared" si="27"/>
        <v>3</v>
      </c>
      <c r="AU14" s="210">
        <f t="shared" si="28"/>
        <v>1</v>
      </c>
      <c r="AV14" s="210">
        <f t="shared" si="29"/>
        <v>0</v>
      </c>
      <c r="AW14" s="210">
        <f t="shared" si="30"/>
        <v>0</v>
      </c>
      <c r="AX14" s="210">
        <f t="shared" si="31"/>
        <v>0</v>
      </c>
      <c r="AY14" s="210">
        <f t="shared" si="32"/>
        <v>0</v>
      </c>
      <c r="AZ14" s="210">
        <f t="shared" si="33"/>
        <v>0</v>
      </c>
      <c r="BA14" s="210">
        <f t="shared" si="44"/>
        <v>3</v>
      </c>
      <c r="BB14" s="209">
        <f t="shared" si="2"/>
        <v>0</v>
      </c>
      <c r="BC14" s="209">
        <f t="shared" si="3"/>
        <v>0</v>
      </c>
      <c r="BD14" s="209">
        <f t="shared" si="4"/>
        <v>4000</v>
      </c>
      <c r="BE14" s="209">
        <f>RANK(BA14,BA$12:BA$15)</f>
        <v>1</v>
      </c>
      <c r="BF14" s="209">
        <f>SUMPRODUCT((BA$12:BA$15=BA14)*(AZ$12:AZ$15&gt;AZ14))</f>
        <v>0</v>
      </c>
      <c r="BG14" s="209">
        <f>SUMPRODUCT((BA$12:BA$15=BA14)*(BE$12:BE$15=BE14)*(AZ$12:AZ$15=AZ14)*(AQ$12:AQ$15&gt;AQ14))</f>
        <v>0</v>
      </c>
      <c r="BH14" s="209">
        <f>SUMPRODUCT((BA$12:BA$15=BA14)*(BE$12:BE$15=BE14)*(AZ$12:AZ$15=AZ14)*(AQ$12:AQ$15=AQ14)*(BB$12:BB$15&gt;BB14))</f>
        <v>0</v>
      </c>
      <c r="BI14" s="209">
        <f>SUMPRODUCT((BA$12:BA$15=BA14)*(BE$12:BE$15=BE14)*(AZ$12:AZ$15=AZ14)*(AQ$12:AQ$15=AQ14)*(BB$12:BB$15=BB14)*(BC$12:BC$15&gt;BC14))</f>
        <v>0</v>
      </c>
      <c r="BJ14" s="209">
        <f>SUMPRODUCT((BA$12:BA$15=BA14)*(BE$12:BE$15=BE14)*(AZ$12:AZ$15=AZ14)*(AQ$12:AQ$15=AQ14)*(BB$12:BB$15=BB14)*(BC$12:BC$15=BC14)*(BD$12:BD$15&gt;BD14))</f>
        <v>0</v>
      </c>
      <c r="BK14" s="209" t="str">
        <f>IF(AND(COUNTIF($AF$4:$AF$35,'Group Stages'!G20)&gt;0,COUNTIF($AF$4:$AF$35,'Group Stages'!M20)&gt;0,'Group Stages'!I20&lt;&gt;"",'Group Stages'!K20&lt;&gt;""),'Group Stages'!G20,"")</f>
        <v/>
      </c>
      <c r="BL14" s="209" t="str">
        <f>IF($BK14&lt;&gt;"",'Group Stages'!I20,"")</f>
        <v/>
      </c>
      <c r="BM14" s="209" t="str">
        <f>IF($BK14&lt;&gt;"",'Group Stages'!K20,"")</f>
        <v/>
      </c>
      <c r="BN14" s="209" t="str">
        <f>IF($BK14&lt;&gt;"",'Group Stages'!M20,"")</f>
        <v/>
      </c>
      <c r="BO14" s="209">
        <f t="shared" si="5"/>
        <v>1</v>
      </c>
      <c r="BP14" s="209" t="str">
        <f t="shared" si="34"/>
        <v>Getafe CF</v>
      </c>
      <c r="BQ14" s="209">
        <f>VLOOKUP($AD14,$B$12:$W$15,22,FALSE)</f>
        <v>6</v>
      </c>
      <c r="BR14" s="209" t="str">
        <f t="shared" ref="BR14" si="64">IF(AND(BQ14&lt;&gt;BQ13,BQ14=BQ15),AD14,"")</f>
        <v/>
      </c>
      <c r="BS14" s="217">
        <f>SUMPRODUCT(($CW$4:$CW$147='Dummy Table'!$BR14)*($CX$4:$CX$147&gt;$CY$4:$CY$147))</f>
        <v>0</v>
      </c>
      <c r="BT14" s="217">
        <f>SUMPRODUCT(($CW$4:$CW$147='Dummy Table'!$BR14)*($CX$4:$CX$147=$CY$4:$CY$147))</f>
        <v>142</v>
      </c>
      <c r="BU14" s="217">
        <f>SUMPRODUCT(($CW$4:$CW$147='Dummy Table'!$BR14)*($CX$4:$CX$147&lt;$CY$4:$CY$147))</f>
        <v>0</v>
      </c>
      <c r="BV14" s="217">
        <f>SUMIF($CW$4:$CW$147,'Dummy Table'!$BR14,$CX$4:$CX$147)</f>
        <v>0</v>
      </c>
      <c r="BW14" s="217">
        <f>SUMIF($CW$4:$CW$147,'Dummy Table'!$BR14,$CY$4:$CY$147)</f>
        <v>0</v>
      </c>
      <c r="BX14" s="217">
        <f t="shared" si="35"/>
        <v>0</v>
      </c>
      <c r="BY14" s="217" t="str">
        <f t="shared" si="36"/>
        <v/>
      </c>
      <c r="BZ14" s="217">
        <f>SUMPRODUCT(($CZ$4:$CZ$147='Dummy Table'!$BR14)*($CX$4:$CX$147&lt;$CY$4:$CY$147))</f>
        <v>0</v>
      </c>
      <c r="CA14" s="217">
        <f>SUMPRODUCT(($CZ$4:$CZ$147='Dummy Table'!$BR14)*($CX$4:$CX$147=$CY$4:$CY$147))</f>
        <v>142</v>
      </c>
      <c r="CB14" s="217">
        <f>SUMPRODUCT(($CZ$4:$CZ$147='Dummy Table'!$BR14)*($CX$4:$CX$147&gt;$CY$4:$CY$147))</f>
        <v>0</v>
      </c>
      <c r="CC14" s="217">
        <f>SUMIF($CZ$4:$CZ$147,'Dummy Table'!$BR14,$CY$4:$CY$147)</f>
        <v>0</v>
      </c>
      <c r="CD14" s="217">
        <f>SUMIF($CZ$4:$CZ$147,'Dummy Table'!$BR14,$CX$4:$CX$147)</f>
        <v>0</v>
      </c>
      <c r="CE14" s="217">
        <f t="shared" si="37"/>
        <v>0</v>
      </c>
      <c r="CF14" s="217" t="str">
        <f t="shared" si="38"/>
        <v/>
      </c>
      <c r="CG14" s="217">
        <f t="shared" si="39"/>
        <v>0</v>
      </c>
      <c r="CH14" s="217">
        <f t="shared" si="6"/>
        <v>284</v>
      </c>
      <c r="CI14" s="217">
        <f t="shared" si="7"/>
        <v>0</v>
      </c>
      <c r="CJ14" s="217">
        <f t="shared" si="8"/>
        <v>0</v>
      </c>
      <c r="CK14" s="217">
        <f t="shared" si="9"/>
        <v>0</v>
      </c>
      <c r="CL14" s="217">
        <f t="shared" si="10"/>
        <v>0</v>
      </c>
      <c r="CM14" s="217">
        <f t="shared" si="45"/>
        <v>-1</v>
      </c>
      <c r="CN14" s="210">
        <f t="shared" si="40"/>
        <v>2000</v>
      </c>
      <c r="CO14" s="210">
        <f>SUMIF($CZ$4:$CZ$147,'Dummy Table'!$BR14,$CY$4:$CY$147)*2</f>
        <v>0</v>
      </c>
      <c r="CP14" s="210">
        <f>RANK(CM14,CM$12:CM$15)</f>
        <v>1</v>
      </c>
      <c r="CR14" s="210">
        <f>SUMPRODUCT((CM$12:CM$15=CM14)*(CL$12:CL$15&gt;CL14))</f>
        <v>0</v>
      </c>
      <c r="CS14" s="210">
        <f>SUMPRODUCT((CP$12:CP$15=CP14)*(CR$12:CR$15=CR14)*(CO$12:CO$15&gt;CO14))</f>
        <v>0</v>
      </c>
      <c r="CT14" s="210">
        <f>IF(BR14&lt;&gt;"",SUMPRODUCT((CP$12:CP$15=CP14)*(CR$12:CR$15=CR14)*(CS$12:CS$15=CS14)*(V$12:V$15&gt;V14)),0)</f>
        <v>0</v>
      </c>
      <c r="CU14" s="210">
        <f t="shared" si="61"/>
        <v>0</v>
      </c>
      <c r="CV14" s="210">
        <f>SUMPRODUCT((CP$12:CP$15=CP14)*(CR$12:CR$15=CR14)*(CS$12:CS$15=CS14)*(CT$12:CT$15=CT14)*(CU$12:CU$15=CU14)*(CN$12:CN$15&gt;CN14))</f>
        <v>3</v>
      </c>
      <c r="CW14" s="209" t="str">
        <f>IF(AND(COUNTIF($BR$4:$BR$35,'Group Stages'!$G20)&gt;0,COUNTIF($BR$4:$BR$35,'Group Stages'!$M20)&gt;0),'Group Stages'!$G20,"")</f>
        <v/>
      </c>
      <c r="CX14" s="209" t="str">
        <f>IF($CW14&lt;&gt;"",'Group Stages'!$I20,"")</f>
        <v/>
      </c>
      <c r="CY14" s="209" t="str">
        <f>IF($CW14&lt;&gt;"",'Group Stages'!$K20,"")</f>
        <v/>
      </c>
      <c r="CZ14" s="209" t="str">
        <f>IF($CW14&lt;&gt;"",'Group Stages'!$M20,"")</f>
        <v/>
      </c>
      <c r="DA14" s="210" t="str">
        <f t="shared" si="11"/>
        <v/>
      </c>
      <c r="DB14" s="209" t="str">
        <f t="shared" si="43"/>
        <v/>
      </c>
      <c r="DC14" s="209">
        <v>3</v>
      </c>
      <c r="DD14" s="209" t="str">
        <f t="shared" si="47"/>
        <v/>
      </c>
      <c r="DE14" s="209">
        <f t="shared" ref="DE14" si="65">IF(AND(DD14="",DD13="",DD12=""),DC14,IF(AND(DD12&lt;&gt;"",DD13="",DD14=""),2,IF(AND(DD12&lt;&gt;"",DD13&lt;&gt;"",DD14=""),1,"")))</f>
        <v>2</v>
      </c>
      <c r="DF14" s="209" t="str">
        <f>VLOOKUP(DE14,$BO$12:$BP$15,2,FALSE)</f>
        <v>FK Krasnodar</v>
      </c>
      <c r="DG14" s="209">
        <v>3</v>
      </c>
      <c r="DH14" s="209" t="str">
        <f t="shared" ref="DH14" si="66">IF(DB14&lt;&gt;"",IF(DA14&lt;DA15,DB14,DB15),IF(DF14&lt;&gt;"",DF14,DD14))</f>
        <v>FK Krasnodar</v>
      </c>
      <c r="DI14" s="209">
        <v>11</v>
      </c>
    </row>
    <row r="15" spans="1:113">
      <c r="A15" s="209">
        <f t="shared" si="12"/>
        <v>2</v>
      </c>
      <c r="B15" s="209" t="str">
        <f>'Team Setup'!B16</f>
        <v>FK Krasnodar</v>
      </c>
      <c r="C15" s="210">
        <f>SUMPRODUCT(('Group Stages'!$I$10:$I$153&lt;&gt;"")*('Group Stages'!$K$10:$K$153&lt;&gt;"")*('Group Stages'!$G$10:$G$153='Dummy Table'!$B15)*('Group Stages'!$I$10:$I$153&gt;'Group Stages'!$K$10:$K$153))</f>
        <v>1</v>
      </c>
      <c r="D15" s="210">
        <f>SUMPRODUCT(('Group Stages'!$I$10:$I$153&lt;&gt;"")*('Group Stages'!$K$10:$K$153&lt;&gt;"")*('Group Stages'!$G$10:$G$153='Dummy Table'!$B15)*('Group Stages'!$I$10:$I$153='Group Stages'!$K$10:$K$153))</f>
        <v>0</v>
      </c>
      <c r="E15" s="210">
        <f>SUMPRODUCT(('Group Stages'!$I$10:$I$153&lt;&gt;"")*('Group Stages'!$K$10:$K$153&lt;&gt;"")*('Group Stages'!$G$10:$G$153='Dummy Table'!$B15)*('Group Stages'!$I$10:$I$153&lt;'Group Stages'!$K$10:$K$153))</f>
        <v>1</v>
      </c>
      <c r="F15" s="210">
        <f>SUMIF('Group Stages'!$G$10:$G$153,'Dummy Table'!$B15,'Group Stages'!$I$10:$I$153)</f>
        <v>0</v>
      </c>
      <c r="G15" s="210">
        <f>SUMIF('Group Stages'!$G$10:$G$153,'Dummy Table'!$B15,'Group Stages'!$K$10:$K$153)</f>
        <v>0</v>
      </c>
      <c r="H15" s="210">
        <f t="shared" si="13"/>
        <v>0</v>
      </c>
      <c r="I15" s="210">
        <f t="shared" si="14"/>
        <v>3</v>
      </c>
      <c r="J15" s="209">
        <f>SUMPRODUCT(('Group Stages'!$I$10:$I$153&lt;&gt;"")*('Group Stages'!$K$10:$K$153&lt;&gt;"")*('Group Stages'!$M$10:$M$153='Dummy Table'!$B15)*('Group Stages'!$I$10:$I$153&lt;'Group Stages'!$K$10:$K$153))</f>
        <v>1</v>
      </c>
      <c r="K15" s="209">
        <f>SUMPRODUCT(('Group Stages'!$I$10:$I$153&lt;&gt;"")*('Group Stages'!$K$10:$K$153&lt;&gt;"")*('Group Stages'!$M$10:$M$153='Dummy Table'!$B15)*('Group Stages'!$I$10:$I$153='Group Stages'!$K$10:$K$153))</f>
        <v>0</v>
      </c>
      <c r="L15" s="209">
        <f>SUMPRODUCT(('Group Stages'!$I$10:$I$153&lt;&gt;"")*('Group Stages'!$K$10:$K$153&lt;&gt;"")*('Group Stages'!$M$10:$M$153='Dummy Table'!$B15)*('Group Stages'!$I$10:$I$153&gt;'Group Stages'!$K$10:$K$153))</f>
        <v>1</v>
      </c>
      <c r="M15" s="209">
        <f>SUMIF('Group Stages'!$M$10:$M$153,'Dummy Table'!$B15,'Group Stages'!$K$10:$K$153)</f>
        <v>0</v>
      </c>
      <c r="N15" s="209">
        <f>SUMIF('Group Stages'!$M$10:$M$153,'Dummy Table'!$B15,'Group Stages'!$I$10:$I$153)</f>
        <v>0</v>
      </c>
      <c r="O15" s="209">
        <f t="shared" si="15"/>
        <v>0</v>
      </c>
      <c r="P15" s="209">
        <f t="shared" si="16"/>
        <v>3</v>
      </c>
      <c r="Q15" s="209">
        <f t="shared" si="17"/>
        <v>2</v>
      </c>
      <c r="R15" s="209">
        <f t="shared" si="18"/>
        <v>0</v>
      </c>
      <c r="S15" s="209">
        <f t="shared" si="19"/>
        <v>2</v>
      </c>
      <c r="T15" s="209">
        <f t="shared" si="20"/>
        <v>0</v>
      </c>
      <c r="U15" s="209">
        <f t="shared" si="21"/>
        <v>0</v>
      </c>
      <c r="V15" s="209">
        <f t="shared" si="22"/>
        <v>0</v>
      </c>
      <c r="W15" s="209">
        <f t="shared" si="23"/>
        <v>6</v>
      </c>
      <c r="X15" s="210">
        <f>IF('Team Setup'!F16&lt;&gt;"",'Team Setup'!F16,DI15)</f>
        <v>33500</v>
      </c>
      <c r="Y15" s="210">
        <f>RANK(W15,W$12:W$15)</f>
        <v>2</v>
      </c>
      <c r="Z15" s="210">
        <f>SUMPRODUCT((W$12:W$15=W15)*(V$12:V$15&gt;V15))</f>
        <v>0</v>
      </c>
      <c r="AA15" s="210">
        <f>SUMPRODUCT((Y$12:Y$15=Y15)*(Z$12:Z$15=Z15)*(T$12:T$15&gt;T15))</f>
        <v>0</v>
      </c>
      <c r="AB15" s="210">
        <f>SUMPRODUCT((Y$12:Y$15=Y15)*(Z$12:Z$15=Z15)*(T$12:T$15=T15)*(X$12:X$15&gt;X15))</f>
        <v>0</v>
      </c>
      <c r="AC15" s="209">
        <v>4</v>
      </c>
      <c r="AD15" s="209" t="str">
        <f>VLOOKUP(AC15,$A$12:$B$15,2,FALSE)</f>
        <v>Trabzonspor</v>
      </c>
      <c r="AE15" s="209">
        <f>VLOOKUP($AD15,$B$12:$W$15,22,FALSE)</f>
        <v>1</v>
      </c>
      <c r="AF15" s="209" t="str">
        <f t="shared" ref="AF15" si="67">IF(AND(AE15=AE14,AE14=AE13),AD15,"")</f>
        <v/>
      </c>
      <c r="AG15" s="210">
        <f>SUMPRODUCT(($BK$4:$BK$147='Dummy Table'!$AF15)*($BL$4:$BL$147&gt;$BM$4:$BM$147))</f>
        <v>0</v>
      </c>
      <c r="AH15" s="210">
        <f>SUMPRODUCT(($BK$4:$BK$147='Dummy Table'!$AF15)*($BL$4:$BL$147=$BM$4:$BM$147))</f>
        <v>134</v>
      </c>
      <c r="AI15" s="210">
        <f>SUMPRODUCT(($BK$4:$BK$147='Dummy Table'!$AF15)*($BL$4:$BL$147&lt;$BM$4:$BM$147))</f>
        <v>0</v>
      </c>
      <c r="AJ15" s="210">
        <f>SUMIF($BK$4:$BK$147,'Dummy Table'!$AF15,$BL$4:$BL$147)</f>
        <v>0</v>
      </c>
      <c r="AK15" s="210">
        <f>SUMIF($BK$4:$BK$147,'Dummy Table'!$AF15,$BM$4:$BM$147)</f>
        <v>0</v>
      </c>
      <c r="AL15" s="210">
        <f t="shared" si="24"/>
        <v>0</v>
      </c>
      <c r="AM15" s="210" t="str">
        <f t="shared" si="25"/>
        <v/>
      </c>
      <c r="AN15" s="210">
        <f>SUMPRODUCT(($BN$4:$BN$147='Dummy Table'!$AF15)*($BL$4:$BL$147&lt;$BM$4:$BM$147))</f>
        <v>0</v>
      </c>
      <c r="AO15" s="210">
        <f>SUMPRODUCT(($BN$4:$BN$147='Dummy Table'!$AF15)*($BL$4:$BL$147=$BM$4:$BM$147))</f>
        <v>134</v>
      </c>
      <c r="AP15" s="210">
        <f>SUMPRODUCT(($BN$4:$BN$147='Dummy Table'!$AF15)*($BL$4:$BL$147&gt;$BM$4:$BM$147))</f>
        <v>0</v>
      </c>
      <c r="AQ15" s="210">
        <f>SUMIF($BN$4:$BN$147,'Dummy Table'!$AF15,$BM$4:$BM$147)</f>
        <v>0</v>
      </c>
      <c r="AR15" s="210">
        <f>SUMIF($BN$4:$BN$147,'Dummy Table'!$AF15,$BL$4:$BL$147)</f>
        <v>0</v>
      </c>
      <c r="AS15" s="210">
        <f t="shared" si="26"/>
        <v>0</v>
      </c>
      <c r="AT15" s="210" t="str">
        <f t="shared" si="27"/>
        <v/>
      </c>
      <c r="AU15" s="210">
        <f t="shared" si="28"/>
        <v>0</v>
      </c>
      <c r="AV15" s="210">
        <f t="shared" si="29"/>
        <v>268</v>
      </c>
      <c r="AW15" s="210">
        <f t="shared" si="30"/>
        <v>0</v>
      </c>
      <c r="AX15" s="210">
        <f t="shared" si="31"/>
        <v>0</v>
      </c>
      <c r="AY15" s="210">
        <f t="shared" si="32"/>
        <v>0</v>
      </c>
      <c r="AZ15" s="210">
        <f t="shared" si="33"/>
        <v>0</v>
      </c>
      <c r="BA15" s="210">
        <f t="shared" si="44"/>
        <v>-1</v>
      </c>
      <c r="BB15" s="209" t="str">
        <f t="shared" si="2"/>
        <v/>
      </c>
      <c r="BC15" s="209" t="str">
        <f t="shared" si="3"/>
        <v/>
      </c>
      <c r="BD15" s="209" t="str">
        <f t="shared" si="4"/>
        <v/>
      </c>
      <c r="BE15" s="209">
        <f>RANK(BA15,BA$12:BA$15)</f>
        <v>3</v>
      </c>
      <c r="BF15" s="209">
        <f>SUMPRODUCT((BA$12:BA$15=BA15)*(AZ$12:AZ$15&gt;AZ15))</f>
        <v>0</v>
      </c>
      <c r="BG15" s="209">
        <f>SUMPRODUCT((BA$12:BA$15=BA15)*(BE$12:BE$15=BE15)*(AZ$12:AZ$15=AZ15)*(AQ$12:AQ$15&gt;AQ15))</f>
        <v>0</v>
      </c>
      <c r="BH15" s="209">
        <f>SUMPRODUCT((BA$12:BA$15=BA15)*(BE$12:BE$15=BE15)*(AZ$12:AZ$15=AZ15)*(AQ$12:AQ$15=AQ15)*(BB$12:BB$15&gt;BB15))</f>
        <v>0</v>
      </c>
      <c r="BI15" s="209">
        <f>SUMPRODUCT((BA$12:BA$15=BA15)*(BE$12:BE$15=BE15)*(AZ$12:AZ$15=AZ15)*(AQ$12:AQ$15=AQ15)*(BB$12:BB$15=BB15)*(BC$12:BC$15&gt;BC15))</f>
        <v>0</v>
      </c>
      <c r="BJ15" s="209">
        <f>SUMPRODUCT((BA$12:BA$15=BA15)*(BE$12:BE$15=BE15)*(AZ$12:AZ$15=AZ15)*(AQ$12:AQ$15=AQ15)*(BB$12:BB$15=BB15)*(BC$12:BC$15=BC15)*(BD$12:BD$15&gt;BD15))</f>
        <v>0</v>
      </c>
      <c r="BK15" s="209" t="str">
        <f>IF(AND(COUNTIF($AF$4:$AF$35,'Group Stages'!G21)&gt;0,COUNTIF($AF$4:$AF$35,'Group Stages'!M21)&gt;0,'Group Stages'!I21&lt;&gt;"",'Group Stages'!K21&lt;&gt;""),'Group Stages'!G21,"")</f>
        <v/>
      </c>
      <c r="BL15" s="209" t="str">
        <f>IF($BK15&lt;&gt;"",'Group Stages'!I21,"")</f>
        <v/>
      </c>
      <c r="BM15" s="209" t="str">
        <f>IF($BK15&lt;&gt;"",'Group Stages'!K21,"")</f>
        <v/>
      </c>
      <c r="BN15" s="209" t="str">
        <f>IF($BK15&lt;&gt;"",'Group Stages'!M21,"")</f>
        <v/>
      </c>
      <c r="BO15" s="209" t="str">
        <f t="shared" si="5"/>
        <v/>
      </c>
      <c r="BP15" s="209" t="str">
        <f t="shared" si="34"/>
        <v/>
      </c>
      <c r="BQ15" s="209">
        <f>VLOOKUP($AD15,$B$12:$W$15,22,FALSE)</f>
        <v>1</v>
      </c>
      <c r="BR15" s="209" t="str">
        <f t="shared" ref="BR15" si="68">IF(BR14&lt;&gt;"",AD15,"")</f>
        <v/>
      </c>
      <c r="BS15" s="217">
        <f>SUMPRODUCT(($CW$4:$CW$147='Dummy Table'!$BR15)*($CX$4:$CX$147&gt;$CY$4:$CY$147))</f>
        <v>0</v>
      </c>
      <c r="BT15" s="217">
        <f>SUMPRODUCT(($CW$4:$CW$147='Dummy Table'!$BR15)*($CX$4:$CX$147=$CY$4:$CY$147))</f>
        <v>142</v>
      </c>
      <c r="BU15" s="217">
        <f>SUMPRODUCT(($CW$4:$CW$147='Dummy Table'!$BR15)*($CX$4:$CX$147&lt;$CY$4:$CY$147))</f>
        <v>0</v>
      </c>
      <c r="BV15" s="217">
        <f>SUMIF($CW$4:$CW$147,'Dummy Table'!$BR15,$CX$4:$CX$147)</f>
        <v>0</v>
      </c>
      <c r="BW15" s="217">
        <f>SUMIF($CW$4:$CW$147,'Dummy Table'!$BR15,$CY$4:$CY$147)</f>
        <v>0</v>
      </c>
      <c r="BX15" s="217">
        <f t="shared" si="35"/>
        <v>0</v>
      </c>
      <c r="BY15" s="217" t="str">
        <f t="shared" si="36"/>
        <v/>
      </c>
      <c r="BZ15" s="217">
        <f>SUMPRODUCT(($CZ$4:$CZ$147='Dummy Table'!$BR15)*($CX$4:$CX$147&lt;$CY$4:$CY$147))</f>
        <v>0</v>
      </c>
      <c r="CA15" s="217">
        <f>SUMPRODUCT(($CZ$4:$CZ$147='Dummy Table'!$BR15)*($CX$4:$CX$147=$CY$4:$CY$147))</f>
        <v>142</v>
      </c>
      <c r="CB15" s="217">
        <f>SUMPRODUCT(($CZ$4:$CZ$147='Dummy Table'!$BR15)*($CX$4:$CX$147&gt;$CY$4:$CY$147))</f>
        <v>0</v>
      </c>
      <c r="CC15" s="217">
        <f>SUMIF($CZ$4:$CZ$147,'Dummy Table'!$BR15,$CY$4:$CY$147)</f>
        <v>0</v>
      </c>
      <c r="CD15" s="217">
        <f>SUMIF($CZ$4:$CZ$147,'Dummy Table'!$BR15,$CX$4:$CX$147)</f>
        <v>0</v>
      </c>
      <c r="CE15" s="217">
        <f t="shared" si="37"/>
        <v>0</v>
      </c>
      <c r="CF15" s="217" t="str">
        <f t="shared" si="38"/>
        <v/>
      </c>
      <c r="CG15" s="217">
        <f t="shared" si="39"/>
        <v>0</v>
      </c>
      <c r="CH15" s="217">
        <f t="shared" si="6"/>
        <v>284</v>
      </c>
      <c r="CI15" s="217">
        <f t="shared" si="7"/>
        <v>0</v>
      </c>
      <c r="CJ15" s="217">
        <f t="shared" si="8"/>
        <v>0</v>
      </c>
      <c r="CK15" s="217">
        <f t="shared" si="9"/>
        <v>0</v>
      </c>
      <c r="CL15" s="217">
        <f t="shared" si="10"/>
        <v>0</v>
      </c>
      <c r="CM15" s="217">
        <f t="shared" si="45"/>
        <v>-1</v>
      </c>
      <c r="CN15" s="210">
        <f t="shared" si="40"/>
        <v>33500</v>
      </c>
      <c r="CO15" s="210">
        <f>SUMIF($CZ$4:$CZ$147,'Dummy Table'!$BR15,$CY$4:$CY$147)*2</f>
        <v>0</v>
      </c>
      <c r="CP15" s="210">
        <f>RANK(CM15,CM$12:CM$15)</f>
        <v>1</v>
      </c>
      <c r="CR15" s="210">
        <f>SUMPRODUCT((CM$12:CM$15=CM15)*(CL$12:CL$15&gt;CL15))</f>
        <v>0</v>
      </c>
      <c r="CS15" s="210">
        <f>SUMPRODUCT((CP$12:CP$15=CP15)*(CR$12:CR$15=CR15)*(CO$12:CO$15&gt;CO15))</f>
        <v>0</v>
      </c>
      <c r="CT15" s="210">
        <f>IF(BR15&lt;&gt;"",SUMPRODUCT((CP$12:CP$15=CP15)*(CR$12:CR$15=CR15)*(CS$12:CS$15=CS15)*(V$12:V$15&gt;V15)),0)</f>
        <v>0</v>
      </c>
      <c r="CU15" s="210">
        <f t="shared" si="61"/>
        <v>0</v>
      </c>
      <c r="CV15" s="210">
        <f>SUMPRODUCT((CP$12:CP$15=CP15)*(CR$12:CR$15=CR15)*(CS$12:CS$15=CS15)*(CT$12:CT$15=CT15)*(CU$12:CU$15=CU15)*(CN$12:CN$15&gt;CN15))</f>
        <v>1</v>
      </c>
      <c r="CW15" s="209" t="str">
        <f>IF(AND(COUNTIF($BR$4:$BR$35,'Group Stages'!$G21)&gt;0,COUNTIF($BR$4:$BR$35,'Group Stages'!$M21)&gt;0),'Group Stages'!$G21,"")</f>
        <v/>
      </c>
      <c r="CX15" s="209" t="str">
        <f>IF($CW15&lt;&gt;"",'Group Stages'!$I21,"")</f>
        <v/>
      </c>
      <c r="CY15" s="209" t="str">
        <f>IF($CW15&lt;&gt;"",'Group Stages'!$K21,"")</f>
        <v/>
      </c>
      <c r="CZ15" s="209" t="str">
        <f>IF($CW15&lt;&gt;"",'Group Stages'!$M21,"")</f>
        <v/>
      </c>
      <c r="DA15" s="210" t="str">
        <f t="shared" si="11"/>
        <v/>
      </c>
      <c r="DB15" s="209" t="str">
        <f t="shared" si="43"/>
        <v/>
      </c>
      <c r="DC15" s="209">
        <v>4</v>
      </c>
      <c r="DD15" s="209" t="str">
        <f t="shared" si="47"/>
        <v>Trabzonspor</v>
      </c>
      <c r="DE15" s="209" t="str">
        <f t="shared" ref="DE15" si="69">IF(AND(DD15="",DD14="",DD13="",DD12=""),4,IF(AND(DD15="",DD14="",DD13=""),3,IF(AND(DD13&lt;&gt;"",DD14="",DD15=""),2,IF(AND(DD13&lt;&gt;"",DD14&lt;&gt;"",DD15=""),1,""))))</f>
        <v/>
      </c>
      <c r="DF15" s="209" t="str">
        <f>VLOOKUP(DE15,$BO$12:$BP$15,2,FALSE)</f>
        <v/>
      </c>
      <c r="DG15" s="209">
        <v>4</v>
      </c>
      <c r="DH15" s="209" t="str">
        <f t="shared" ref="DH15" si="70">IF(DB15&lt;&gt;"",IF(DA14&lt;DA15,DB15,DB14),IF(DF15&lt;&gt;"",DF15,DD15))</f>
        <v>Trabzonspor</v>
      </c>
      <c r="DI15" s="209">
        <v>12</v>
      </c>
    </row>
    <row r="16" spans="1:113">
      <c r="A16" s="209">
        <f t="shared" si="12"/>
        <v>3</v>
      </c>
      <c r="B16" s="209" t="str">
        <f>'Team Setup'!B17</f>
        <v>LASK</v>
      </c>
      <c r="C16" s="210">
        <f>SUMPRODUCT(('Group Stages'!$I$10:$I$153&lt;&gt;"")*('Group Stages'!$K$10:$K$153&lt;&gt;"")*('Group Stages'!$G$10:$G$153='Dummy Table'!$B16)*('Group Stages'!$I$10:$I$153&gt;'Group Stages'!$K$10:$K$153))</f>
        <v>2</v>
      </c>
      <c r="D16" s="210">
        <f>SUMPRODUCT(('Group Stages'!$I$10:$I$153&lt;&gt;"")*('Group Stages'!$K$10:$K$153&lt;&gt;"")*('Group Stages'!$G$10:$G$153='Dummy Table'!$B16)*('Group Stages'!$I$10:$I$153='Group Stages'!$K$10:$K$153))</f>
        <v>0</v>
      </c>
      <c r="E16" s="210">
        <f>SUMPRODUCT(('Group Stages'!$I$10:$I$153&lt;&gt;"")*('Group Stages'!$K$10:$K$153&lt;&gt;"")*('Group Stages'!$G$10:$G$153='Dummy Table'!$B16)*('Group Stages'!$I$10:$I$153&lt;'Group Stages'!$K$10:$K$153))</f>
        <v>0</v>
      </c>
      <c r="F16" s="210">
        <f>SUMIF('Group Stages'!$G$10:$G$153,'Dummy Table'!$B16,'Group Stages'!$I$10:$I$153)</f>
        <v>0</v>
      </c>
      <c r="G16" s="210">
        <f>SUMIF('Group Stages'!$G$10:$G$153,'Dummy Table'!$B16,'Group Stages'!$K$10:$K$153)</f>
        <v>0</v>
      </c>
      <c r="H16" s="210">
        <f t="shared" si="13"/>
        <v>0</v>
      </c>
      <c r="I16" s="210">
        <f t="shared" si="14"/>
        <v>6</v>
      </c>
      <c r="J16" s="209">
        <f>SUMPRODUCT(('Group Stages'!$I$10:$I$153&lt;&gt;"")*('Group Stages'!$K$10:$K$153&lt;&gt;"")*('Group Stages'!$M$10:$M$153='Dummy Table'!$B16)*('Group Stages'!$I$10:$I$153&lt;'Group Stages'!$K$10:$K$153))</f>
        <v>0</v>
      </c>
      <c r="K16" s="209">
        <f>SUMPRODUCT(('Group Stages'!$I$10:$I$153&lt;&gt;"")*('Group Stages'!$K$10:$K$153&lt;&gt;"")*('Group Stages'!$M$10:$M$153='Dummy Table'!$B16)*('Group Stages'!$I$10:$I$153='Group Stages'!$K$10:$K$153))</f>
        <v>1</v>
      </c>
      <c r="L16" s="209">
        <f>SUMPRODUCT(('Group Stages'!$I$10:$I$153&lt;&gt;"")*('Group Stages'!$K$10:$K$153&lt;&gt;"")*('Group Stages'!$M$10:$M$153='Dummy Table'!$B16)*('Group Stages'!$I$10:$I$153&gt;'Group Stages'!$K$10:$K$153))</f>
        <v>1</v>
      </c>
      <c r="M16" s="209">
        <f>SUMIF('Group Stages'!$M$10:$M$153,'Dummy Table'!$B16,'Group Stages'!$K$10:$K$153)</f>
        <v>0</v>
      </c>
      <c r="N16" s="209">
        <f>SUMIF('Group Stages'!$M$10:$M$153,'Dummy Table'!$B16,'Group Stages'!$I$10:$I$153)</f>
        <v>0</v>
      </c>
      <c r="O16" s="209">
        <f t="shared" si="15"/>
        <v>0</v>
      </c>
      <c r="P16" s="209">
        <f t="shared" si="16"/>
        <v>1</v>
      </c>
      <c r="Q16" s="209">
        <f t="shared" si="17"/>
        <v>2</v>
      </c>
      <c r="R16" s="209">
        <f t="shared" si="18"/>
        <v>1</v>
      </c>
      <c r="S16" s="209">
        <f t="shared" si="19"/>
        <v>1</v>
      </c>
      <c r="T16" s="209">
        <f t="shared" si="20"/>
        <v>0</v>
      </c>
      <c r="U16" s="209">
        <f t="shared" si="21"/>
        <v>0</v>
      </c>
      <c r="V16" s="209">
        <f t="shared" si="22"/>
        <v>0</v>
      </c>
      <c r="W16" s="209">
        <f t="shared" si="23"/>
        <v>7</v>
      </c>
      <c r="X16" s="210">
        <f>IF('Team Setup'!F17&lt;&gt;"",'Team Setup'!F17,DI16)</f>
        <v>7000</v>
      </c>
      <c r="Y16" s="210">
        <f>RANK(W16,W$16:W$19)</f>
        <v>2</v>
      </c>
      <c r="Z16" s="210">
        <f>SUMPRODUCT((W$16:W$19=W16)*(V$16:V$19&gt;V16))</f>
        <v>0</v>
      </c>
      <c r="AA16" s="210">
        <f>SUMPRODUCT((Y$16:Y$19=Y16)*(Z$16:Z$19=Z16)*(T$16:T$19&gt;T16))</f>
        <v>0</v>
      </c>
      <c r="AB16" s="210">
        <f>SUMPRODUCT((Y$16:Y$19=Y16)*(Z$16:Z$19=Z16)*(T$16:T$19=T16)*(X$16:X$19&gt;X16))</f>
        <v>1</v>
      </c>
      <c r="AC16" s="209">
        <v>1</v>
      </c>
      <c r="AD16" s="209" t="str">
        <f>VLOOKUP(AC16,$A$16:$B$19,2,FALSE)</f>
        <v>Sporting CP</v>
      </c>
      <c r="AE16" s="209">
        <f>VLOOKUP($AD16,$B$16:$W$19,22,FALSE)</f>
        <v>9</v>
      </c>
      <c r="AF16" s="209" t="str">
        <f t="shared" ref="AF16" si="71">IF(AE16=AE17,AD16,"")</f>
        <v/>
      </c>
      <c r="AG16" s="210">
        <f>SUMPRODUCT(($BK$4:$BK$147='Dummy Table'!$AF16)*($BL$4:$BL$147&gt;$BM$4:$BM$147))</f>
        <v>0</v>
      </c>
      <c r="AH16" s="210">
        <f>SUMPRODUCT(($BK$4:$BK$147='Dummy Table'!$AF16)*($BL$4:$BL$147=$BM$4:$BM$147))</f>
        <v>134</v>
      </c>
      <c r="AI16" s="210">
        <f>SUMPRODUCT(($BK$4:$BK$147='Dummy Table'!$AF16)*($BL$4:$BL$147&lt;$BM$4:$BM$147))</f>
        <v>0</v>
      </c>
      <c r="AJ16" s="210">
        <f>SUMIF($BK$4:$BK$147,'Dummy Table'!$AF16,$BL$4:$BL$147)</f>
        <v>0</v>
      </c>
      <c r="AK16" s="210">
        <f>SUMIF($BK$4:$BK$147,'Dummy Table'!$AF16,$BM$4:$BM$147)</f>
        <v>0</v>
      </c>
      <c r="AL16" s="210">
        <f t="shared" si="24"/>
        <v>0</v>
      </c>
      <c r="AM16" s="210" t="str">
        <f t="shared" si="25"/>
        <v/>
      </c>
      <c r="AN16" s="210">
        <f>SUMPRODUCT(($BN$4:$BN$147='Dummy Table'!$AF16)*($BL$4:$BL$147&lt;$BM$4:$BM$147))</f>
        <v>0</v>
      </c>
      <c r="AO16" s="210">
        <f>SUMPRODUCT(($BN$4:$BN$147='Dummy Table'!$AF16)*($BL$4:$BL$147=$BM$4:$BM$147))</f>
        <v>134</v>
      </c>
      <c r="AP16" s="210">
        <f>SUMPRODUCT(($BN$4:$BN$147='Dummy Table'!$AF16)*($BL$4:$BL$147&gt;$BM$4:$BM$147))</f>
        <v>0</v>
      </c>
      <c r="AQ16" s="210">
        <f>SUMIF($BN$4:$BN$147,'Dummy Table'!$AF16,$BM$4:$BM$147)</f>
        <v>0</v>
      </c>
      <c r="AR16" s="210">
        <f>SUMIF($BN$4:$BN$147,'Dummy Table'!$AF16,$BL$4:$BL$147)</f>
        <v>0</v>
      </c>
      <c r="AS16" s="210">
        <f t="shared" si="26"/>
        <v>0</v>
      </c>
      <c r="AT16" s="210" t="str">
        <f t="shared" si="27"/>
        <v/>
      </c>
      <c r="AU16" s="210">
        <f t="shared" si="28"/>
        <v>0</v>
      </c>
      <c r="AV16" s="210">
        <f t="shared" si="29"/>
        <v>268</v>
      </c>
      <c r="AW16" s="210">
        <f t="shared" si="30"/>
        <v>0</v>
      </c>
      <c r="AX16" s="210">
        <f t="shared" si="31"/>
        <v>0</v>
      </c>
      <c r="AY16" s="210">
        <f t="shared" si="32"/>
        <v>0</v>
      </c>
      <c r="AZ16" s="210">
        <f t="shared" si="33"/>
        <v>0</v>
      </c>
      <c r="BA16" s="210">
        <f t="shared" si="44"/>
        <v>-1</v>
      </c>
      <c r="BB16" s="209" t="str">
        <f t="shared" si="2"/>
        <v/>
      </c>
      <c r="BC16" s="209" t="str">
        <f t="shared" si="3"/>
        <v/>
      </c>
      <c r="BD16" s="209" t="str">
        <f t="shared" si="4"/>
        <v/>
      </c>
      <c r="BE16" s="209">
        <f>RANK(BA16,BA$16:BA$19)</f>
        <v>3</v>
      </c>
      <c r="BF16" s="209">
        <f>SUMPRODUCT((BA$16:BA$19=BA16)*(AZ$16:AZ$19&gt;AZ16))</f>
        <v>0</v>
      </c>
      <c r="BG16" s="209">
        <f>SUMPRODUCT((BA$16:BA$19=BA16)*(BE$16:BE$19=BE16)*(AZ$16:AZ$19=AZ16)*(AQ$16:AQ$19&gt;AQ16))</f>
        <v>0</v>
      </c>
      <c r="BH16" s="209">
        <f>SUMPRODUCT((BA$16:BA$19=BA16)*(BE$16:BE$19=BE16)*(AZ$16:AZ$19=AZ16)*(AQ$16:AQ$19=AQ16)*(BB$16:BB$19&gt;BB16))</f>
        <v>0</v>
      </c>
      <c r="BI16" s="209">
        <f>SUMPRODUCT((BA$16:BA$19=BA16)*(BE$16:BE$19=BE16)*(AZ$16:AZ$19=AZ16)*(AQ$16:AQ$19=AQ16)*(BB$16:BB$19=BB16)*(BC$16:BC$19&gt;BC16))</f>
        <v>0</v>
      </c>
      <c r="BJ16" s="209">
        <f>SUMPRODUCT((BA$16:BA$19=BA16)*(BE$16:BE$19=BE16)*(AZ$16:AZ$19=AZ16)*(AQ$16:AQ$19=AQ16)*(BB$16:BB$19=BB16)*(BC$16:BC$19=BC16)*(BD$16:BD$19&gt;BD16))</f>
        <v>0</v>
      </c>
      <c r="BK16" s="209" t="str">
        <f>IF(AND(COUNTIF($AF$4:$AF$35,'Group Stages'!G22)&gt;0,COUNTIF($AF$4:$AF$35,'Group Stages'!M22)&gt;0,'Group Stages'!I22&lt;&gt;"",'Group Stages'!K22&lt;&gt;""),'Group Stages'!G22,"")</f>
        <v/>
      </c>
      <c r="BL16" s="209" t="str">
        <f>IF($BK16&lt;&gt;"",'Group Stages'!I22,"")</f>
        <v/>
      </c>
      <c r="BM16" s="209" t="str">
        <f>IF($BK16&lt;&gt;"",'Group Stages'!K22,"")</f>
        <v/>
      </c>
      <c r="BN16" s="209" t="str">
        <f>IF($BK16&lt;&gt;"",'Group Stages'!M22,"")</f>
        <v/>
      </c>
      <c r="BO16" s="209" t="str">
        <f t="shared" si="5"/>
        <v/>
      </c>
      <c r="BP16" s="209" t="str">
        <f t="shared" si="34"/>
        <v/>
      </c>
      <c r="BQ16" s="209">
        <f>VLOOKUP($AD16,$B$16:$W$19,22,FALSE)</f>
        <v>9</v>
      </c>
      <c r="BS16" s="217">
        <f>SUMPRODUCT(($CW$4:$CW$147='Dummy Table'!$BR16)*($CX$4:$CX$147&gt;$CY$4:$CY$147))</f>
        <v>0</v>
      </c>
      <c r="BT16" s="217">
        <f>SUMPRODUCT(($CW$4:$CW$147='Dummy Table'!$BR16)*($CX$4:$CX$147=$CY$4:$CY$147))</f>
        <v>142</v>
      </c>
      <c r="BU16" s="217">
        <f>SUMPRODUCT(($CW$4:$CW$147='Dummy Table'!$BR16)*($CX$4:$CX$147&lt;$CY$4:$CY$147))</f>
        <v>0</v>
      </c>
      <c r="BV16" s="217">
        <f>SUMIF($CW$4:$CW$147,'Dummy Table'!$BR16,$CX$4:$CX$147)</f>
        <v>0</v>
      </c>
      <c r="BW16" s="217">
        <f>SUMIF($CW$4:$CW$147,'Dummy Table'!$BR16,$CY$4:$CY$147)</f>
        <v>0</v>
      </c>
      <c r="BX16" s="217">
        <f t="shared" si="35"/>
        <v>0</v>
      </c>
      <c r="BY16" s="217" t="str">
        <f t="shared" si="36"/>
        <v/>
      </c>
      <c r="BZ16" s="217">
        <f>SUMPRODUCT(($CZ$4:$CZ$147='Dummy Table'!$BR16)*($CX$4:$CX$147&lt;$CY$4:$CY$147))</f>
        <v>0</v>
      </c>
      <c r="CA16" s="217">
        <f>SUMPRODUCT(($CZ$4:$CZ$147='Dummy Table'!$BR16)*($CX$4:$CX$147=$CY$4:$CY$147))</f>
        <v>142</v>
      </c>
      <c r="CB16" s="217">
        <f>SUMPRODUCT(($CZ$4:$CZ$147='Dummy Table'!$BR16)*($CX$4:$CX$147&gt;$CY$4:$CY$147))</f>
        <v>0</v>
      </c>
      <c r="CC16" s="217">
        <f>SUMIF($CZ$4:$CZ$147,'Dummy Table'!$BR16,$CY$4:$CY$147)</f>
        <v>0</v>
      </c>
      <c r="CD16" s="217">
        <f>SUMIF($CZ$4:$CZ$147,'Dummy Table'!$BR16,$CX$4:$CX$147)</f>
        <v>0</v>
      </c>
      <c r="CE16" s="217">
        <f t="shared" si="37"/>
        <v>0</v>
      </c>
      <c r="CF16" s="217" t="str">
        <f t="shared" si="38"/>
        <v/>
      </c>
      <c r="CG16" s="217">
        <f t="shared" si="39"/>
        <v>0</v>
      </c>
      <c r="CH16" s="217">
        <f t="shared" si="6"/>
        <v>284</v>
      </c>
      <c r="CI16" s="217">
        <f t="shared" si="7"/>
        <v>0</v>
      </c>
      <c r="CJ16" s="217">
        <f t="shared" si="8"/>
        <v>0</v>
      </c>
      <c r="CK16" s="217">
        <f t="shared" si="9"/>
        <v>0</v>
      </c>
      <c r="CL16" s="217">
        <f t="shared" si="10"/>
        <v>0</v>
      </c>
      <c r="CM16" s="217">
        <f t="shared" si="45"/>
        <v>-1</v>
      </c>
      <c r="CN16" s="210">
        <f t="shared" si="40"/>
        <v>7000</v>
      </c>
      <c r="CO16" s="210">
        <f>SUMIF($CZ$4:$CZ$147,'Dummy Table'!$BR16,$CY$4:$CY$147)*2</f>
        <v>0</v>
      </c>
      <c r="CP16" s="210">
        <f>RANK(CM16,CM$16:CM$19)</f>
        <v>1</v>
      </c>
      <c r="CR16" s="210">
        <f>SUMPRODUCT((CM$16:CM$19=CM16)*(CL$16:CL$19&gt;CL16))</f>
        <v>0</v>
      </c>
      <c r="CS16" s="210">
        <f>SUMPRODUCT((CP$16:CP$19=CP16)*(CR$16:CR$19=CR16)*(CO$16:CO$19&gt;CO16))</f>
        <v>0</v>
      </c>
      <c r="CT16" s="210">
        <f>IF(BR16&lt;&gt;"",SUMPRODUCT((CP$16:CP$19=CP16)*(CR$16:CR$19=CR16)*(CS$16:CS$19=CS16)*(V$16:V$19&gt;V16)),0)</f>
        <v>0</v>
      </c>
      <c r="CU16" s="210">
        <f>IF($BR16&lt;&gt;"",SUMPRODUCT((CP$16:CP$19=CP16)*(CR$16:CR$19=CR16)*(CS$16:CS$19=CS16)*(CT$16:CT$19=CT16)*(T$16:T$19&gt;T16)),0)</f>
        <v>0</v>
      </c>
      <c r="CV16" s="210">
        <f>SUMPRODUCT((CP$16:CP$19=CP16)*(CR$16:CR$19=CR16)*(CS$16:CS$19=CS16)*(CT$16:CT$19=CT16)*(CU$16:CU$19=CU16)*(CN$16:CN$19&gt;CN16))</f>
        <v>3</v>
      </c>
      <c r="CW16" s="209" t="str">
        <f>IF(AND(COUNTIF($BR$4:$BR$35,'Group Stages'!$G22)&gt;0,COUNTIF($BR$4:$BR$35,'Group Stages'!$M22)&gt;0),'Group Stages'!$G22,"")</f>
        <v/>
      </c>
      <c r="CX16" s="209" t="str">
        <f>IF($CW16&lt;&gt;"",'Group Stages'!$I22,"")</f>
        <v/>
      </c>
      <c r="CY16" s="209" t="str">
        <f>IF($CW16&lt;&gt;"",'Group Stages'!$K22,"")</f>
        <v/>
      </c>
      <c r="CZ16" s="209" t="str">
        <f>IF($CW16&lt;&gt;"",'Group Stages'!$M22,"")</f>
        <v/>
      </c>
      <c r="DA16" s="210" t="str">
        <f t="shared" si="11"/>
        <v/>
      </c>
      <c r="DB16" s="209" t="str">
        <f t="shared" si="43"/>
        <v/>
      </c>
      <c r="DC16" s="209">
        <v>1</v>
      </c>
      <c r="DD16" s="209" t="str">
        <f t="shared" si="47"/>
        <v>Sporting CP</v>
      </c>
      <c r="DE16" s="209" t="str">
        <f t="shared" ref="DE16" si="72">IF(DD16="",DC16,"")</f>
        <v/>
      </c>
      <c r="DF16" s="209" t="str">
        <f>VLOOKUP(DE16,$BO$16:$BP$19,2,FALSE)</f>
        <v/>
      </c>
      <c r="DG16" s="209">
        <v>1</v>
      </c>
      <c r="DH16" s="209" t="str">
        <f t="shared" ref="DH16:DH17" si="73">IF(DD16="",DF16,DD16)</f>
        <v>Sporting CP</v>
      </c>
      <c r="DI16" s="209">
        <v>13</v>
      </c>
    </row>
    <row r="17" spans="1:113">
      <c r="A17" s="209">
        <f t="shared" si="12"/>
        <v>2</v>
      </c>
      <c r="B17" s="209" t="str">
        <f>'Team Setup'!B18</f>
        <v>PSV Eindhoven</v>
      </c>
      <c r="C17" s="210">
        <f>SUMPRODUCT(('Group Stages'!$I$10:$I$153&lt;&gt;"")*('Group Stages'!$K$10:$K$153&lt;&gt;"")*('Group Stages'!$G$10:$G$153='Dummy Table'!$B17)*('Group Stages'!$I$10:$I$153&gt;'Group Stages'!$K$10:$K$153))</f>
        <v>1</v>
      </c>
      <c r="D17" s="210">
        <f>SUMPRODUCT(('Group Stages'!$I$10:$I$153&lt;&gt;"")*('Group Stages'!$K$10:$K$153&lt;&gt;"")*('Group Stages'!$G$10:$G$153='Dummy Table'!$B17)*('Group Stages'!$I$10:$I$153='Group Stages'!$K$10:$K$153))</f>
        <v>1</v>
      </c>
      <c r="E17" s="210">
        <f>SUMPRODUCT(('Group Stages'!$I$10:$I$153&lt;&gt;"")*('Group Stages'!$K$10:$K$153&lt;&gt;"")*('Group Stages'!$G$10:$G$153='Dummy Table'!$B17)*('Group Stages'!$I$10:$I$153&lt;'Group Stages'!$K$10:$K$153))</f>
        <v>0</v>
      </c>
      <c r="F17" s="210">
        <f>SUMIF('Group Stages'!$G$10:$G$153,'Dummy Table'!$B17,'Group Stages'!$I$10:$I$153)</f>
        <v>0</v>
      </c>
      <c r="G17" s="210">
        <f>SUMIF('Group Stages'!$G$10:$G$153,'Dummy Table'!$B17,'Group Stages'!$K$10:$K$153)</f>
        <v>0</v>
      </c>
      <c r="H17" s="210">
        <f t="shared" si="13"/>
        <v>0</v>
      </c>
      <c r="I17" s="210">
        <f t="shared" si="14"/>
        <v>4</v>
      </c>
      <c r="J17" s="209">
        <f>SUMPRODUCT(('Group Stages'!$I$10:$I$153&lt;&gt;"")*('Group Stages'!$K$10:$K$153&lt;&gt;"")*('Group Stages'!$M$10:$M$153='Dummy Table'!$B17)*('Group Stages'!$I$10:$I$153&lt;'Group Stages'!$K$10:$K$153))</f>
        <v>1</v>
      </c>
      <c r="K17" s="209">
        <f>SUMPRODUCT(('Group Stages'!$I$10:$I$153&lt;&gt;"")*('Group Stages'!$K$10:$K$153&lt;&gt;"")*('Group Stages'!$M$10:$M$153='Dummy Table'!$B17)*('Group Stages'!$I$10:$I$153='Group Stages'!$K$10:$K$153))</f>
        <v>0</v>
      </c>
      <c r="L17" s="209">
        <f>SUMPRODUCT(('Group Stages'!$I$10:$I$153&lt;&gt;"")*('Group Stages'!$K$10:$K$153&lt;&gt;"")*('Group Stages'!$M$10:$M$153='Dummy Table'!$B17)*('Group Stages'!$I$10:$I$153&gt;'Group Stages'!$K$10:$K$153))</f>
        <v>1</v>
      </c>
      <c r="M17" s="209">
        <f>SUMIF('Group Stages'!$M$10:$M$153,'Dummy Table'!$B17,'Group Stages'!$K$10:$K$153)</f>
        <v>0</v>
      </c>
      <c r="N17" s="209">
        <f>SUMIF('Group Stages'!$M$10:$M$153,'Dummy Table'!$B17,'Group Stages'!$I$10:$I$153)</f>
        <v>0</v>
      </c>
      <c r="O17" s="209">
        <f t="shared" si="15"/>
        <v>0</v>
      </c>
      <c r="P17" s="209">
        <f t="shared" si="16"/>
        <v>3</v>
      </c>
      <c r="Q17" s="209">
        <f t="shared" si="17"/>
        <v>2</v>
      </c>
      <c r="R17" s="209">
        <f t="shared" si="18"/>
        <v>1</v>
      </c>
      <c r="S17" s="209">
        <f t="shared" si="19"/>
        <v>1</v>
      </c>
      <c r="T17" s="209">
        <f t="shared" si="20"/>
        <v>0</v>
      </c>
      <c r="U17" s="209">
        <f t="shared" si="21"/>
        <v>0</v>
      </c>
      <c r="V17" s="209">
        <f t="shared" si="22"/>
        <v>0</v>
      </c>
      <c r="W17" s="209">
        <f t="shared" si="23"/>
        <v>7</v>
      </c>
      <c r="X17" s="210">
        <f>IF('Team Setup'!F18&lt;&gt;"",'Team Setup'!F18,DI17)</f>
        <v>36000</v>
      </c>
      <c r="Y17" s="210">
        <f>RANK(W17,W$16:W$19)</f>
        <v>2</v>
      </c>
      <c r="Z17" s="210">
        <f>SUMPRODUCT((W$16:W$19=W17)*(V$16:V$19&gt;V17))</f>
        <v>0</v>
      </c>
      <c r="AA17" s="210">
        <f>SUMPRODUCT((Y$16:Y$19=Y17)*(Z$16:Z$19=Z17)*(T$16:T$19&gt;T17))</f>
        <v>0</v>
      </c>
      <c r="AB17" s="210">
        <f>SUMPRODUCT((Y$16:Y$19=Y17)*(Z$16:Z$19=Z17)*(T$16:T$19=T17)*(X$16:X$19&gt;X17))</f>
        <v>0</v>
      </c>
      <c r="AC17" s="209">
        <v>2</v>
      </c>
      <c r="AD17" s="209" t="str">
        <f>VLOOKUP(AC17,$A$16:$B$19,2,FALSE)</f>
        <v>PSV Eindhoven</v>
      </c>
      <c r="AE17" s="209">
        <f>VLOOKUP($AD17,$B$16:$W$19,22,FALSE)</f>
        <v>7</v>
      </c>
      <c r="AF17" s="209" t="str">
        <f t="shared" ref="AF17" si="74">IF(OR(AE17=AE16,AE17=AE18),AD17,"")</f>
        <v>PSV Eindhoven</v>
      </c>
      <c r="AG17" s="210">
        <f>SUMPRODUCT(($BK$4:$BK$147='Dummy Table'!$AF17)*($BL$4:$BL$147&gt;$BM$4:$BM$147))</f>
        <v>0</v>
      </c>
      <c r="AH17" s="210">
        <f>SUMPRODUCT(($BK$4:$BK$147='Dummy Table'!$AF17)*($BL$4:$BL$147=$BM$4:$BM$147))</f>
        <v>1</v>
      </c>
      <c r="AI17" s="210">
        <f>SUMPRODUCT(($BK$4:$BK$147='Dummy Table'!$AF17)*($BL$4:$BL$147&lt;$BM$4:$BM$147))</f>
        <v>0</v>
      </c>
      <c r="AJ17" s="210">
        <f>SUMIF($BK$4:$BK$147,'Dummy Table'!$AF17,$BL$4:$BL$147)</f>
        <v>0</v>
      </c>
      <c r="AK17" s="210">
        <f>SUMIF($BK$4:$BK$147,'Dummy Table'!$AF17,$BM$4:$BM$147)</f>
        <v>0</v>
      </c>
      <c r="AL17" s="210">
        <f t="shared" si="24"/>
        <v>0</v>
      </c>
      <c r="AM17" s="210">
        <f t="shared" si="25"/>
        <v>1</v>
      </c>
      <c r="AN17" s="210">
        <f>SUMPRODUCT(($BN$4:$BN$147='Dummy Table'!$AF17)*($BL$4:$BL$147&lt;$BM$4:$BM$147))</f>
        <v>0</v>
      </c>
      <c r="AO17" s="210">
        <f>SUMPRODUCT(($BN$4:$BN$147='Dummy Table'!$AF17)*($BL$4:$BL$147=$BM$4:$BM$147))</f>
        <v>0</v>
      </c>
      <c r="AP17" s="210">
        <f>SUMPRODUCT(($BN$4:$BN$147='Dummy Table'!$AF17)*($BL$4:$BL$147&gt;$BM$4:$BM$147))</f>
        <v>1</v>
      </c>
      <c r="AQ17" s="210">
        <f>SUMIF($BN$4:$BN$147,'Dummy Table'!$AF17,$BM$4:$BM$147)</f>
        <v>0</v>
      </c>
      <c r="AR17" s="210">
        <f>SUMIF($BN$4:$BN$147,'Dummy Table'!$AF17,$BL$4:$BL$147)</f>
        <v>0</v>
      </c>
      <c r="AS17" s="210">
        <f t="shared" si="26"/>
        <v>0</v>
      </c>
      <c r="AT17" s="210">
        <f t="shared" si="27"/>
        <v>0</v>
      </c>
      <c r="AU17" s="210">
        <f t="shared" si="28"/>
        <v>0</v>
      </c>
      <c r="AV17" s="210">
        <f t="shared" si="29"/>
        <v>1</v>
      </c>
      <c r="AW17" s="210">
        <f t="shared" si="30"/>
        <v>1</v>
      </c>
      <c r="AX17" s="210">
        <f t="shared" si="31"/>
        <v>0</v>
      </c>
      <c r="AY17" s="210">
        <f t="shared" si="32"/>
        <v>0</v>
      </c>
      <c r="AZ17" s="210">
        <f t="shared" si="33"/>
        <v>0</v>
      </c>
      <c r="BA17" s="210">
        <f t="shared" si="44"/>
        <v>1</v>
      </c>
      <c r="BB17" s="209">
        <f t="shared" si="2"/>
        <v>0</v>
      </c>
      <c r="BC17" s="209">
        <f t="shared" si="3"/>
        <v>0</v>
      </c>
      <c r="BD17" s="209">
        <f t="shared" si="4"/>
        <v>36000</v>
      </c>
      <c r="BE17" s="209">
        <f>RANK(BA17,BA$16:BA$19)</f>
        <v>2</v>
      </c>
      <c r="BF17" s="209">
        <f>SUMPRODUCT((BA$16:BA$19=BA17)*(AZ$16:AZ$19&gt;AZ17))</f>
        <v>0</v>
      </c>
      <c r="BG17" s="209">
        <f>SUMPRODUCT((BA$16:BA$19=BA17)*(BE$16:BE$19=BE17)*(AZ$16:AZ$19=AZ17)*(AQ$16:AQ$19&gt;AQ17))</f>
        <v>0</v>
      </c>
      <c r="BH17" s="209">
        <f>SUMPRODUCT((BA$16:BA$19=BA17)*(BE$16:BE$19=BE17)*(AZ$16:AZ$19=AZ17)*(AQ$16:AQ$19=AQ17)*(BB$16:BB$19&gt;BB17))</f>
        <v>0</v>
      </c>
      <c r="BI17" s="209">
        <f>SUMPRODUCT((BA$16:BA$19=BA17)*(BE$16:BE$19=BE17)*(AZ$16:AZ$19=AZ17)*(AQ$16:AQ$19=AQ17)*(BB$16:BB$19=BB17)*(BC$16:BC$19&gt;BC17))</f>
        <v>0</v>
      </c>
      <c r="BJ17" s="209">
        <f>SUMPRODUCT((BA$16:BA$19=BA17)*(BE$16:BE$19=BE17)*(AZ$16:AZ$19=AZ17)*(AQ$16:AQ$19=AQ17)*(BB$16:BB$19=BB17)*(BC$16:BC$19=BC17)*(BD$16:BD$19&gt;BD17))</f>
        <v>0</v>
      </c>
      <c r="BK17" s="209" t="str">
        <f>IF(AND(COUNTIF($AF$4:$AF$35,'Group Stages'!G23)&gt;0,COUNTIF($AF$4:$AF$35,'Group Stages'!M23)&gt;0,'Group Stages'!I23&lt;&gt;"",'Group Stages'!K23&lt;&gt;""),'Group Stages'!G23,"")</f>
        <v/>
      </c>
      <c r="BL17" s="209" t="str">
        <f>IF($BK17&lt;&gt;"",'Group Stages'!I23,"")</f>
        <v/>
      </c>
      <c r="BM17" s="209" t="str">
        <f>IF($BK17&lt;&gt;"",'Group Stages'!K23,"")</f>
        <v/>
      </c>
      <c r="BN17" s="209" t="str">
        <f>IF($BK17&lt;&gt;"",'Group Stages'!M23,"")</f>
        <v/>
      </c>
      <c r="BO17" s="209">
        <f t="shared" si="5"/>
        <v>2</v>
      </c>
      <c r="BP17" s="209" t="str">
        <f t="shared" si="34"/>
        <v>PSV Eindhoven</v>
      </c>
      <c r="BQ17" s="209">
        <f>VLOOKUP($AD17,$B$16:$W$19,22,FALSE)</f>
        <v>7</v>
      </c>
      <c r="BS17" s="217">
        <f>SUMPRODUCT(($CW$4:$CW$147='Dummy Table'!$BR17)*($CX$4:$CX$147&gt;$CY$4:$CY$147))</f>
        <v>0</v>
      </c>
      <c r="BT17" s="217">
        <f>SUMPRODUCT(($CW$4:$CW$147='Dummy Table'!$BR17)*($CX$4:$CX$147=$CY$4:$CY$147))</f>
        <v>142</v>
      </c>
      <c r="BU17" s="217">
        <f>SUMPRODUCT(($CW$4:$CW$147='Dummy Table'!$BR17)*($CX$4:$CX$147&lt;$CY$4:$CY$147))</f>
        <v>0</v>
      </c>
      <c r="BV17" s="217">
        <f>SUMIF($CW$4:$CW$147,'Dummy Table'!$BR17,$CX$4:$CX$147)</f>
        <v>0</v>
      </c>
      <c r="BW17" s="217">
        <f>SUMIF($CW$4:$CW$147,'Dummy Table'!$BR17,$CY$4:$CY$147)</f>
        <v>0</v>
      </c>
      <c r="BX17" s="217">
        <f t="shared" si="35"/>
        <v>0</v>
      </c>
      <c r="BY17" s="217" t="str">
        <f t="shared" si="36"/>
        <v/>
      </c>
      <c r="BZ17" s="217">
        <f>SUMPRODUCT(($CZ$4:$CZ$147='Dummy Table'!$BR17)*($CX$4:$CX$147&lt;$CY$4:$CY$147))</f>
        <v>0</v>
      </c>
      <c r="CA17" s="217">
        <f>SUMPRODUCT(($CZ$4:$CZ$147='Dummy Table'!$BR17)*($CX$4:$CX$147=$CY$4:$CY$147))</f>
        <v>142</v>
      </c>
      <c r="CB17" s="217">
        <f>SUMPRODUCT(($CZ$4:$CZ$147='Dummy Table'!$BR17)*($CX$4:$CX$147&gt;$CY$4:$CY$147))</f>
        <v>0</v>
      </c>
      <c r="CC17" s="217">
        <f>SUMIF($CZ$4:$CZ$147,'Dummy Table'!$BR17,$CY$4:$CY$147)</f>
        <v>0</v>
      </c>
      <c r="CD17" s="217">
        <f>SUMIF($CZ$4:$CZ$147,'Dummy Table'!$BR17,$CX$4:$CX$147)</f>
        <v>0</v>
      </c>
      <c r="CE17" s="217">
        <f t="shared" si="37"/>
        <v>0</v>
      </c>
      <c r="CF17" s="217" t="str">
        <f t="shared" si="38"/>
        <v/>
      </c>
      <c r="CG17" s="217">
        <f t="shared" si="39"/>
        <v>0</v>
      </c>
      <c r="CH17" s="217">
        <f t="shared" si="6"/>
        <v>284</v>
      </c>
      <c r="CI17" s="217">
        <f t="shared" si="7"/>
        <v>0</v>
      </c>
      <c r="CJ17" s="217">
        <f t="shared" si="8"/>
        <v>0</v>
      </c>
      <c r="CK17" s="217">
        <f t="shared" si="9"/>
        <v>0</v>
      </c>
      <c r="CL17" s="217">
        <f t="shared" si="10"/>
        <v>0</v>
      </c>
      <c r="CM17" s="217">
        <f t="shared" si="45"/>
        <v>-1</v>
      </c>
      <c r="CN17" s="210">
        <f t="shared" si="40"/>
        <v>36000</v>
      </c>
      <c r="CO17" s="210">
        <f>SUMIF($CZ$4:$CZ$147,'Dummy Table'!$BR17,$CY$4:$CY$147)*2</f>
        <v>0</v>
      </c>
      <c r="CP17" s="210">
        <f>RANK(CM17,CM$16:CM$19)</f>
        <v>1</v>
      </c>
      <c r="CR17" s="210">
        <f>SUMPRODUCT((CM$16:CM$19=CM17)*(CL$16:CL$19&gt;CL17))</f>
        <v>0</v>
      </c>
      <c r="CS17" s="210">
        <f>SUMPRODUCT((CP$16:CP$19=CP17)*(CR$16:CR$19=CR17)*(CO$16:CO$19&gt;CO17))</f>
        <v>0</v>
      </c>
      <c r="CT17" s="210">
        <f>IF(BR17&lt;&gt;"",SUMPRODUCT((CP$16:CP$19=CP17)*(CR$16:CR$19=CR17)*(CS$16:CS$19=CS17)*(V$16:V$19&gt;V17)),0)</f>
        <v>0</v>
      </c>
      <c r="CU17" s="210">
        <f>IF($BR17&lt;&gt;"",SUMPRODUCT((CP$16:CP$19=CP17)*(CR$16:CR$19=CR17)*(CS$16:CS$19=CS17)*(CT$16:CT$19=CT17)*(T$16:T$19&gt;T17)),0)</f>
        <v>0</v>
      </c>
      <c r="CV17" s="210">
        <f>SUMPRODUCT((CP$16:CP$19=CP17)*(CR$16:CR$19=CR17)*(CS$16:CS$19=CS17)*(CT$16:CT$19=CT17)*(CU$16:CU$19=CU17)*(CN$16:CN$19&gt;CN17))</f>
        <v>1</v>
      </c>
      <c r="CW17" s="209" t="str">
        <f>IF(AND(COUNTIF($BR$4:$BR$35,'Group Stages'!$G23)&gt;0,COUNTIF($BR$4:$BR$35,'Group Stages'!$M23)&gt;0),'Group Stages'!$G23,"")</f>
        <v/>
      </c>
      <c r="CX17" s="209" t="str">
        <f>IF($CW17&lt;&gt;"",'Group Stages'!$I23,"")</f>
        <v/>
      </c>
      <c r="CY17" s="209" t="str">
        <f>IF($CW17&lt;&gt;"",'Group Stages'!$K23,"")</f>
        <v/>
      </c>
      <c r="CZ17" s="209" t="str">
        <f>IF($CW17&lt;&gt;"",'Group Stages'!$M23,"")</f>
        <v/>
      </c>
      <c r="DA17" s="210" t="str">
        <f t="shared" si="11"/>
        <v/>
      </c>
      <c r="DB17" s="209" t="str">
        <f t="shared" si="43"/>
        <v/>
      </c>
      <c r="DC17" s="209">
        <v>2</v>
      </c>
      <c r="DD17" s="209" t="str">
        <f t="shared" si="47"/>
        <v/>
      </c>
      <c r="DE17" s="209">
        <f t="shared" ref="DE17" si="75">IF(AND(DD17="",DD16=""),DC17,IF(AND(DD16&lt;&gt;"",DD17=""),1,""))</f>
        <v>1</v>
      </c>
      <c r="DF17" s="209" t="str">
        <f>VLOOKUP(DE17,$BO$16:$BP$19,2,FALSE)</f>
        <v>LASK</v>
      </c>
      <c r="DG17" s="209">
        <v>2</v>
      </c>
      <c r="DH17" s="209" t="str">
        <f t="shared" si="73"/>
        <v>LASK</v>
      </c>
      <c r="DI17" s="209">
        <v>14</v>
      </c>
    </row>
    <row r="18" spans="1:113">
      <c r="A18" s="209">
        <f t="shared" si="12"/>
        <v>1</v>
      </c>
      <c r="B18" s="209" t="str">
        <f>'Team Setup'!B19</f>
        <v>Sporting CP</v>
      </c>
      <c r="C18" s="210">
        <f>SUMPRODUCT(('Group Stages'!$I$10:$I$153&lt;&gt;"")*('Group Stages'!$K$10:$K$153&lt;&gt;"")*('Group Stages'!$G$10:$G$153='Dummy Table'!$B18)*('Group Stages'!$I$10:$I$153&gt;'Group Stages'!$K$10:$K$153))</f>
        <v>2</v>
      </c>
      <c r="D18" s="210">
        <f>SUMPRODUCT(('Group Stages'!$I$10:$I$153&lt;&gt;"")*('Group Stages'!$K$10:$K$153&lt;&gt;"")*('Group Stages'!$G$10:$G$153='Dummy Table'!$B18)*('Group Stages'!$I$10:$I$153='Group Stages'!$K$10:$K$153))</f>
        <v>0</v>
      </c>
      <c r="E18" s="210">
        <f>SUMPRODUCT(('Group Stages'!$I$10:$I$153&lt;&gt;"")*('Group Stages'!$K$10:$K$153&lt;&gt;"")*('Group Stages'!$G$10:$G$153='Dummy Table'!$B18)*('Group Stages'!$I$10:$I$153&lt;'Group Stages'!$K$10:$K$153))</f>
        <v>0</v>
      </c>
      <c r="F18" s="210">
        <f>SUMIF('Group Stages'!$G$10:$G$153,'Dummy Table'!$B18,'Group Stages'!$I$10:$I$153)</f>
        <v>0</v>
      </c>
      <c r="G18" s="210">
        <f>SUMIF('Group Stages'!$G$10:$G$153,'Dummy Table'!$B18,'Group Stages'!$K$10:$K$153)</f>
        <v>0</v>
      </c>
      <c r="H18" s="210">
        <f t="shared" si="13"/>
        <v>0</v>
      </c>
      <c r="I18" s="210">
        <f t="shared" si="14"/>
        <v>6</v>
      </c>
      <c r="J18" s="209">
        <f>SUMPRODUCT(('Group Stages'!$I$10:$I$153&lt;&gt;"")*('Group Stages'!$K$10:$K$153&lt;&gt;"")*('Group Stages'!$M$10:$M$153='Dummy Table'!$B18)*('Group Stages'!$I$10:$I$153&lt;'Group Stages'!$K$10:$K$153))</f>
        <v>1</v>
      </c>
      <c r="K18" s="209">
        <f>SUMPRODUCT(('Group Stages'!$I$10:$I$153&lt;&gt;"")*('Group Stages'!$K$10:$K$153&lt;&gt;"")*('Group Stages'!$M$10:$M$153='Dummy Table'!$B18)*('Group Stages'!$I$10:$I$153='Group Stages'!$K$10:$K$153))</f>
        <v>0</v>
      </c>
      <c r="L18" s="209">
        <f>SUMPRODUCT(('Group Stages'!$I$10:$I$153&lt;&gt;"")*('Group Stages'!$K$10:$K$153&lt;&gt;"")*('Group Stages'!$M$10:$M$153='Dummy Table'!$B18)*('Group Stages'!$I$10:$I$153&gt;'Group Stages'!$K$10:$K$153))</f>
        <v>1</v>
      </c>
      <c r="M18" s="209">
        <f>SUMIF('Group Stages'!$M$10:$M$153,'Dummy Table'!$B18,'Group Stages'!$K$10:$K$153)</f>
        <v>0</v>
      </c>
      <c r="N18" s="209">
        <f>SUMIF('Group Stages'!$M$10:$M$153,'Dummy Table'!$B18,'Group Stages'!$I$10:$I$153)</f>
        <v>0</v>
      </c>
      <c r="O18" s="209">
        <f t="shared" si="15"/>
        <v>0</v>
      </c>
      <c r="P18" s="209">
        <f t="shared" si="16"/>
        <v>3</v>
      </c>
      <c r="Q18" s="209">
        <f t="shared" si="17"/>
        <v>3</v>
      </c>
      <c r="R18" s="209">
        <f t="shared" si="18"/>
        <v>0</v>
      </c>
      <c r="S18" s="209">
        <f t="shared" si="19"/>
        <v>1</v>
      </c>
      <c r="T18" s="209">
        <f t="shared" si="20"/>
        <v>0</v>
      </c>
      <c r="U18" s="209">
        <f t="shared" si="21"/>
        <v>0</v>
      </c>
      <c r="V18" s="209">
        <f t="shared" si="22"/>
        <v>0</v>
      </c>
      <c r="W18" s="209">
        <f t="shared" si="23"/>
        <v>9</v>
      </c>
      <c r="X18" s="210">
        <f>IF('Team Setup'!F19&lt;&gt;"",'Team Setup'!F19,DI18)</f>
        <v>46000</v>
      </c>
      <c r="Y18" s="210">
        <f>RANK(W18,W$16:W$19)</f>
        <v>1</v>
      </c>
      <c r="Z18" s="210">
        <f>SUMPRODUCT((W$16:W$19=W18)*(V$16:V$19&gt;V18))</f>
        <v>0</v>
      </c>
      <c r="AA18" s="210">
        <f>SUMPRODUCT((Y$16:Y$19=Y18)*(Z$16:Z$19=Z18)*(T$16:T$19&gt;T18))</f>
        <v>0</v>
      </c>
      <c r="AB18" s="210">
        <f>SUMPRODUCT((Y$16:Y$19=Y18)*(Z$16:Z$19=Z18)*(T$16:T$19=T18)*(X$16:X$19&gt;X18))</f>
        <v>0</v>
      </c>
      <c r="AC18" s="209">
        <v>3</v>
      </c>
      <c r="AD18" s="209" t="str">
        <f>VLOOKUP(AC18,$A$16:$B$19,2,FALSE)</f>
        <v>LASK</v>
      </c>
      <c r="AE18" s="209">
        <f>VLOOKUP($AD18,$B$16:$W$19,22,FALSE)</f>
        <v>7</v>
      </c>
      <c r="AF18" s="209" t="str">
        <f t="shared" ref="AF18" si="76">IF(AE18=AE17,AD18,"")</f>
        <v>LASK</v>
      </c>
      <c r="AG18" s="210">
        <f>SUMPRODUCT(($BK$4:$BK$147='Dummy Table'!$AF18)*($BL$4:$BL$147&gt;$BM$4:$BM$147))</f>
        <v>1</v>
      </c>
      <c r="AH18" s="210">
        <f>SUMPRODUCT(($BK$4:$BK$147='Dummy Table'!$AF18)*($BL$4:$BL$147=$BM$4:$BM$147))</f>
        <v>0</v>
      </c>
      <c r="AI18" s="210">
        <f>SUMPRODUCT(($BK$4:$BK$147='Dummy Table'!$AF18)*($BL$4:$BL$147&lt;$BM$4:$BM$147))</f>
        <v>0</v>
      </c>
      <c r="AJ18" s="210">
        <f>SUMIF($BK$4:$BK$147,'Dummy Table'!$AF18,$BL$4:$BL$147)</f>
        <v>0</v>
      </c>
      <c r="AK18" s="210">
        <f>SUMIF($BK$4:$BK$147,'Dummy Table'!$AF18,$BM$4:$BM$147)</f>
        <v>0</v>
      </c>
      <c r="AL18" s="210">
        <f t="shared" si="24"/>
        <v>0</v>
      </c>
      <c r="AM18" s="210">
        <f t="shared" si="25"/>
        <v>3</v>
      </c>
      <c r="AN18" s="210">
        <f>SUMPRODUCT(($BN$4:$BN$147='Dummy Table'!$AF18)*($BL$4:$BL$147&lt;$BM$4:$BM$147))</f>
        <v>0</v>
      </c>
      <c r="AO18" s="210">
        <f>SUMPRODUCT(($BN$4:$BN$147='Dummy Table'!$AF18)*($BL$4:$BL$147=$BM$4:$BM$147))</f>
        <v>1</v>
      </c>
      <c r="AP18" s="210">
        <f>SUMPRODUCT(($BN$4:$BN$147='Dummy Table'!$AF18)*($BL$4:$BL$147&gt;$BM$4:$BM$147))</f>
        <v>0</v>
      </c>
      <c r="AQ18" s="210">
        <f>SUMIF($BN$4:$BN$147,'Dummy Table'!$AF18,$BM$4:$BM$147)</f>
        <v>0</v>
      </c>
      <c r="AR18" s="210">
        <f>SUMIF($BN$4:$BN$147,'Dummy Table'!$AF18,$BL$4:$BL$147)</f>
        <v>0</v>
      </c>
      <c r="AS18" s="210">
        <f t="shared" si="26"/>
        <v>0</v>
      </c>
      <c r="AT18" s="210">
        <f t="shared" si="27"/>
        <v>1</v>
      </c>
      <c r="AU18" s="210">
        <f t="shared" si="28"/>
        <v>1</v>
      </c>
      <c r="AV18" s="210">
        <f t="shared" si="29"/>
        <v>1</v>
      </c>
      <c r="AW18" s="210">
        <f t="shared" si="30"/>
        <v>0</v>
      </c>
      <c r="AX18" s="210">
        <f t="shared" si="31"/>
        <v>0</v>
      </c>
      <c r="AY18" s="210">
        <f t="shared" si="32"/>
        <v>0</v>
      </c>
      <c r="AZ18" s="210">
        <f t="shared" si="33"/>
        <v>0</v>
      </c>
      <c r="BA18" s="210">
        <f t="shared" si="44"/>
        <v>4</v>
      </c>
      <c r="BB18" s="209">
        <f t="shared" si="2"/>
        <v>0</v>
      </c>
      <c r="BC18" s="209">
        <f t="shared" si="3"/>
        <v>0</v>
      </c>
      <c r="BD18" s="209">
        <f t="shared" si="4"/>
        <v>7000</v>
      </c>
      <c r="BE18" s="209">
        <f>RANK(BA18,BA$16:BA$19)</f>
        <v>1</v>
      </c>
      <c r="BF18" s="209">
        <f>SUMPRODUCT((BA$16:BA$19=BA18)*(AZ$16:AZ$19&gt;AZ18))</f>
        <v>0</v>
      </c>
      <c r="BG18" s="209">
        <f>SUMPRODUCT((BA$16:BA$19=BA18)*(BE$16:BE$19=BE18)*(AZ$16:AZ$19=AZ18)*(AQ$16:AQ$19&gt;AQ18))</f>
        <v>0</v>
      </c>
      <c r="BH18" s="209">
        <f>SUMPRODUCT((BA$16:BA$19=BA18)*(BE$16:BE$19=BE18)*(AZ$16:AZ$19=AZ18)*(AQ$16:AQ$19=AQ18)*(BB$16:BB$19&gt;BB18))</f>
        <v>0</v>
      </c>
      <c r="BI18" s="209">
        <f>SUMPRODUCT((BA$16:BA$19=BA18)*(BE$16:BE$19=BE18)*(AZ$16:AZ$19=AZ18)*(AQ$16:AQ$19=AQ18)*(BB$16:BB$19=BB18)*(BC$16:BC$19&gt;BC18))</f>
        <v>0</v>
      </c>
      <c r="BJ18" s="209">
        <f>SUMPRODUCT((BA$16:BA$19=BA18)*(BE$16:BE$19=BE18)*(AZ$16:AZ$19=AZ18)*(AQ$16:AQ$19=AQ18)*(BB$16:BB$19=BB18)*(BC$16:BC$19=BC18)*(BD$16:BD$19&gt;BD18))</f>
        <v>0</v>
      </c>
      <c r="BK18" s="209" t="str">
        <f>IF(AND(COUNTIF($AF$4:$AF$35,'Group Stages'!G24)&gt;0,COUNTIF($AF$4:$AF$35,'Group Stages'!M24)&gt;0,'Group Stages'!I24&lt;&gt;"",'Group Stages'!K24&lt;&gt;""),'Group Stages'!G24,"")</f>
        <v/>
      </c>
      <c r="BL18" s="209" t="str">
        <f>IF($BK18&lt;&gt;"",'Group Stages'!I24,"")</f>
        <v/>
      </c>
      <c r="BM18" s="209" t="str">
        <f>IF($BK18&lt;&gt;"",'Group Stages'!K24,"")</f>
        <v/>
      </c>
      <c r="BN18" s="209" t="str">
        <f>IF($BK18&lt;&gt;"",'Group Stages'!M24,"")</f>
        <v/>
      </c>
      <c r="BO18" s="209">
        <f t="shared" si="5"/>
        <v>1</v>
      </c>
      <c r="BP18" s="209" t="str">
        <f t="shared" si="34"/>
        <v>LASK</v>
      </c>
      <c r="BQ18" s="209">
        <f>VLOOKUP($AD18,$B$16:$W$19,22,FALSE)</f>
        <v>7</v>
      </c>
      <c r="BR18" s="209" t="str">
        <f t="shared" ref="BR18" si="77">IF(AND(BQ18&lt;&gt;BQ17,BQ18=BQ19),AD18,"")</f>
        <v/>
      </c>
      <c r="BS18" s="217">
        <f>SUMPRODUCT(($CW$4:$CW$147='Dummy Table'!$BR18)*($CX$4:$CX$147&gt;$CY$4:$CY$147))</f>
        <v>0</v>
      </c>
      <c r="BT18" s="217">
        <f>SUMPRODUCT(($CW$4:$CW$147='Dummy Table'!$BR18)*($CX$4:$CX$147=$CY$4:$CY$147))</f>
        <v>142</v>
      </c>
      <c r="BU18" s="217">
        <f>SUMPRODUCT(($CW$4:$CW$147='Dummy Table'!$BR18)*($CX$4:$CX$147&lt;$CY$4:$CY$147))</f>
        <v>0</v>
      </c>
      <c r="BV18" s="217">
        <f>SUMIF($CW$4:$CW$147,'Dummy Table'!$BR18,$CX$4:$CX$147)</f>
        <v>0</v>
      </c>
      <c r="BW18" s="217">
        <f>SUMIF($CW$4:$CW$147,'Dummy Table'!$BR18,$CY$4:$CY$147)</f>
        <v>0</v>
      </c>
      <c r="BX18" s="217">
        <f t="shared" si="35"/>
        <v>0</v>
      </c>
      <c r="BY18" s="217" t="str">
        <f t="shared" si="36"/>
        <v/>
      </c>
      <c r="BZ18" s="217">
        <f>SUMPRODUCT(($CZ$4:$CZ$147='Dummy Table'!$BR18)*($CX$4:$CX$147&lt;$CY$4:$CY$147))</f>
        <v>0</v>
      </c>
      <c r="CA18" s="217">
        <f>SUMPRODUCT(($CZ$4:$CZ$147='Dummy Table'!$BR18)*($CX$4:$CX$147=$CY$4:$CY$147))</f>
        <v>142</v>
      </c>
      <c r="CB18" s="217">
        <f>SUMPRODUCT(($CZ$4:$CZ$147='Dummy Table'!$BR18)*($CX$4:$CX$147&gt;$CY$4:$CY$147))</f>
        <v>0</v>
      </c>
      <c r="CC18" s="217">
        <f>SUMIF($CZ$4:$CZ$147,'Dummy Table'!$BR18,$CY$4:$CY$147)</f>
        <v>0</v>
      </c>
      <c r="CD18" s="217">
        <f>SUMIF($CZ$4:$CZ$147,'Dummy Table'!$BR18,$CX$4:$CX$147)</f>
        <v>0</v>
      </c>
      <c r="CE18" s="217">
        <f t="shared" si="37"/>
        <v>0</v>
      </c>
      <c r="CF18" s="217" t="str">
        <f t="shared" si="38"/>
        <v/>
      </c>
      <c r="CG18" s="217">
        <f t="shared" si="39"/>
        <v>0</v>
      </c>
      <c r="CH18" s="217">
        <f t="shared" si="6"/>
        <v>284</v>
      </c>
      <c r="CI18" s="217">
        <f t="shared" si="7"/>
        <v>0</v>
      </c>
      <c r="CJ18" s="217">
        <f t="shared" si="8"/>
        <v>0</v>
      </c>
      <c r="CK18" s="217">
        <f t="shared" si="9"/>
        <v>0</v>
      </c>
      <c r="CL18" s="217">
        <f t="shared" si="10"/>
        <v>0</v>
      </c>
      <c r="CM18" s="217">
        <f t="shared" si="45"/>
        <v>-1</v>
      </c>
      <c r="CN18" s="210">
        <f t="shared" si="40"/>
        <v>46000</v>
      </c>
      <c r="CO18" s="210">
        <f>SUMIF($CZ$4:$CZ$147,'Dummy Table'!$BR18,$CY$4:$CY$147)*2</f>
        <v>0</v>
      </c>
      <c r="CP18" s="210">
        <f>RANK(CM18,CM$16:CM$19)</f>
        <v>1</v>
      </c>
      <c r="CR18" s="210">
        <f>SUMPRODUCT((CM$16:CM$19=CM18)*(CL$16:CL$19&gt;CL18))</f>
        <v>0</v>
      </c>
      <c r="CS18" s="210">
        <f>SUMPRODUCT((CP$16:CP$19=CP18)*(CR$16:CR$19=CR18)*(CO$16:CO$19&gt;CO18))</f>
        <v>0</v>
      </c>
      <c r="CT18" s="210">
        <f>IF(BR18&lt;&gt;"",SUMPRODUCT((CP$16:CP$19=CP18)*(CR$16:CR$19=CR18)*(CS$16:CS$19=CS18)*(V$16:V$19&gt;V18)),0)</f>
        <v>0</v>
      </c>
      <c r="CU18" s="210">
        <f>IF($BR18&lt;&gt;"",SUMPRODUCT((CP$16:CP$19=CP18)*(CR$16:CR$19=CR18)*(CS$16:CS$19=CS18)*(CT$16:CT$19=CT18)*(T$16:T$19&gt;T18)),0)</f>
        <v>0</v>
      </c>
      <c r="CV18" s="210">
        <f>SUMPRODUCT((CP$16:CP$19=CP18)*(CR$16:CR$19=CR18)*(CS$16:CS$19=CS18)*(CT$16:CT$19=CT18)*(CU$16:CU$19=CU18)*(CN$16:CN$19&gt;CN18))</f>
        <v>0</v>
      </c>
      <c r="CW18" s="209" t="str">
        <f>IF(AND(COUNTIF($BR$4:$BR$35,'Group Stages'!$G24)&gt;0,COUNTIF($BR$4:$BR$35,'Group Stages'!$M24)&gt;0),'Group Stages'!$G24,"")</f>
        <v/>
      </c>
      <c r="CX18" s="209" t="str">
        <f>IF($CW18&lt;&gt;"",'Group Stages'!$I24,"")</f>
        <v/>
      </c>
      <c r="CY18" s="209" t="str">
        <f>IF($CW18&lt;&gt;"",'Group Stages'!$K24,"")</f>
        <v/>
      </c>
      <c r="CZ18" s="209" t="str">
        <f>IF($CW18&lt;&gt;"",'Group Stages'!$M24,"")</f>
        <v/>
      </c>
      <c r="DA18" s="210" t="str">
        <f t="shared" si="11"/>
        <v/>
      </c>
      <c r="DB18" s="209" t="str">
        <f t="shared" si="43"/>
        <v/>
      </c>
      <c r="DC18" s="209">
        <v>3</v>
      </c>
      <c r="DD18" s="209" t="str">
        <f t="shared" si="47"/>
        <v/>
      </c>
      <c r="DE18" s="209">
        <f t="shared" ref="DE18" si="78">IF(AND(DD18="",DD17="",DD16=""),DC18,IF(AND(DD16&lt;&gt;"",DD17="",DD18=""),2,IF(AND(DD16&lt;&gt;"",DD17&lt;&gt;"",DD18=""),1,"")))</f>
        <v>2</v>
      </c>
      <c r="DF18" s="209" t="str">
        <f>VLOOKUP(DE18,$BO$16:$BP$19,2,FALSE)</f>
        <v>PSV Eindhoven</v>
      </c>
      <c r="DG18" s="209">
        <v>3</v>
      </c>
      <c r="DH18" s="209" t="str">
        <f t="shared" ref="DH18" si="79">IF(DB18&lt;&gt;"",IF(DA18&lt;DA19,DB18,DB19),IF(DF18&lt;&gt;"",DF18,DD18))</f>
        <v>PSV Eindhoven</v>
      </c>
      <c r="DI18" s="209">
        <v>15</v>
      </c>
    </row>
    <row r="19" spans="1:113">
      <c r="A19" s="209">
        <f t="shared" si="12"/>
        <v>4</v>
      </c>
      <c r="B19" s="209" t="str">
        <f>'Team Setup'!B20</f>
        <v>Rosenborg BK</v>
      </c>
      <c r="C19" s="210">
        <f>SUMPRODUCT(('Group Stages'!$I$10:$I$153&lt;&gt;"")*('Group Stages'!$K$10:$K$153&lt;&gt;"")*('Group Stages'!$G$10:$G$153='Dummy Table'!$B19)*('Group Stages'!$I$10:$I$153&gt;'Group Stages'!$K$10:$K$153))</f>
        <v>0</v>
      </c>
      <c r="D19" s="210">
        <f>SUMPRODUCT(('Group Stages'!$I$10:$I$153&lt;&gt;"")*('Group Stages'!$K$10:$K$153&lt;&gt;"")*('Group Stages'!$G$10:$G$153='Dummy Table'!$B19)*('Group Stages'!$I$10:$I$153='Group Stages'!$K$10:$K$153))</f>
        <v>0</v>
      </c>
      <c r="E19" s="210">
        <f>SUMPRODUCT(('Group Stages'!$I$10:$I$153&lt;&gt;"")*('Group Stages'!$K$10:$K$153&lt;&gt;"")*('Group Stages'!$G$10:$G$153='Dummy Table'!$B19)*('Group Stages'!$I$10:$I$153&lt;'Group Stages'!$K$10:$K$153))</f>
        <v>2</v>
      </c>
      <c r="F19" s="210">
        <f>SUMIF('Group Stages'!$G$10:$G$153,'Dummy Table'!$B19,'Group Stages'!$I$10:$I$153)</f>
        <v>0</v>
      </c>
      <c r="G19" s="210">
        <f>SUMIF('Group Stages'!$G$10:$G$153,'Dummy Table'!$B19,'Group Stages'!$K$10:$K$153)</f>
        <v>0</v>
      </c>
      <c r="H19" s="210">
        <f t="shared" si="13"/>
        <v>0</v>
      </c>
      <c r="I19" s="210">
        <f t="shared" si="14"/>
        <v>0</v>
      </c>
      <c r="J19" s="209">
        <f>SUMPRODUCT(('Group Stages'!$I$10:$I$153&lt;&gt;"")*('Group Stages'!$K$10:$K$153&lt;&gt;"")*('Group Stages'!$M$10:$M$153='Dummy Table'!$B19)*('Group Stages'!$I$10:$I$153&lt;'Group Stages'!$K$10:$K$153))</f>
        <v>0</v>
      </c>
      <c r="K19" s="209">
        <f>SUMPRODUCT(('Group Stages'!$I$10:$I$153&lt;&gt;"")*('Group Stages'!$K$10:$K$153&lt;&gt;"")*('Group Stages'!$M$10:$M$153='Dummy Table'!$B19)*('Group Stages'!$I$10:$I$153='Group Stages'!$K$10:$K$153))</f>
        <v>0</v>
      </c>
      <c r="L19" s="209">
        <f>SUMPRODUCT(('Group Stages'!$I$10:$I$153&lt;&gt;"")*('Group Stages'!$K$10:$K$153&lt;&gt;"")*('Group Stages'!$M$10:$M$153='Dummy Table'!$B19)*('Group Stages'!$I$10:$I$153&gt;'Group Stages'!$K$10:$K$153))</f>
        <v>2</v>
      </c>
      <c r="M19" s="209">
        <f>SUMIF('Group Stages'!$M$10:$M$153,'Dummy Table'!$B19,'Group Stages'!$K$10:$K$153)</f>
        <v>0</v>
      </c>
      <c r="N19" s="209">
        <f>SUMIF('Group Stages'!$M$10:$M$153,'Dummy Table'!$B19,'Group Stages'!$I$10:$I$153)</f>
        <v>0</v>
      </c>
      <c r="O19" s="209">
        <f t="shared" si="15"/>
        <v>0</v>
      </c>
      <c r="P19" s="209">
        <f t="shared" si="16"/>
        <v>0</v>
      </c>
      <c r="Q19" s="209">
        <f t="shared" si="17"/>
        <v>0</v>
      </c>
      <c r="R19" s="209">
        <f t="shared" si="18"/>
        <v>0</v>
      </c>
      <c r="S19" s="209">
        <f t="shared" si="19"/>
        <v>4</v>
      </c>
      <c r="T19" s="209">
        <f t="shared" si="20"/>
        <v>0</v>
      </c>
      <c r="U19" s="209">
        <f t="shared" si="21"/>
        <v>0</v>
      </c>
      <c r="V19" s="209">
        <f t="shared" si="22"/>
        <v>0</v>
      </c>
      <c r="W19" s="209">
        <f t="shared" si="23"/>
        <v>0</v>
      </c>
      <c r="X19" s="210">
        <f>IF('Team Setup'!F20&lt;&gt;"",'Team Setup'!F20,DI19)</f>
        <v>10500</v>
      </c>
      <c r="Y19" s="210">
        <f>RANK(W19,W$16:W$19)</f>
        <v>4</v>
      </c>
      <c r="Z19" s="210">
        <f>SUMPRODUCT((W$16:W$19=W19)*(V$16:V$19&gt;V19))</f>
        <v>0</v>
      </c>
      <c r="AA19" s="210">
        <f>SUMPRODUCT((Y$16:Y$19=Y19)*(Z$16:Z$19=Z19)*(T$16:T$19&gt;T19))</f>
        <v>0</v>
      </c>
      <c r="AB19" s="210">
        <f>SUMPRODUCT((Y$16:Y$19=Y19)*(Z$16:Z$19=Z19)*(T$16:T$19=T19)*(X$16:X$19&gt;X19))</f>
        <v>0</v>
      </c>
      <c r="AC19" s="209">
        <v>4</v>
      </c>
      <c r="AD19" s="209" t="str">
        <f>VLOOKUP(AC19,$A$16:$B$19,2,FALSE)</f>
        <v>Rosenborg BK</v>
      </c>
      <c r="AE19" s="209">
        <f>VLOOKUP($AD19,$B$16:$W$19,22,FALSE)</f>
        <v>0</v>
      </c>
      <c r="AF19" s="209" t="str">
        <f t="shared" ref="AF19" si="80">IF(AND(AE19=AE18,AE18=AE17),AD19,"")</f>
        <v/>
      </c>
      <c r="AG19" s="210">
        <f>SUMPRODUCT(($BK$4:$BK$147='Dummy Table'!$AF19)*($BL$4:$BL$147&gt;$BM$4:$BM$147))</f>
        <v>0</v>
      </c>
      <c r="AH19" s="210">
        <f>SUMPRODUCT(($BK$4:$BK$147='Dummy Table'!$AF19)*($BL$4:$BL$147=$BM$4:$BM$147))</f>
        <v>134</v>
      </c>
      <c r="AI19" s="210">
        <f>SUMPRODUCT(($BK$4:$BK$147='Dummy Table'!$AF19)*($BL$4:$BL$147&lt;$BM$4:$BM$147))</f>
        <v>0</v>
      </c>
      <c r="AJ19" s="210">
        <f>SUMIF($BK$4:$BK$147,'Dummy Table'!$AF19,$BL$4:$BL$147)</f>
        <v>0</v>
      </c>
      <c r="AK19" s="210">
        <f>SUMIF($BK$4:$BK$147,'Dummy Table'!$AF19,$BM$4:$BM$147)</f>
        <v>0</v>
      </c>
      <c r="AL19" s="210">
        <f t="shared" si="24"/>
        <v>0</v>
      </c>
      <c r="AM19" s="210" t="str">
        <f t="shared" si="25"/>
        <v/>
      </c>
      <c r="AN19" s="210">
        <f>SUMPRODUCT(($BN$4:$BN$147='Dummy Table'!$AF19)*($BL$4:$BL$147&lt;$BM$4:$BM$147))</f>
        <v>0</v>
      </c>
      <c r="AO19" s="210">
        <f>SUMPRODUCT(($BN$4:$BN$147='Dummy Table'!$AF19)*($BL$4:$BL$147=$BM$4:$BM$147))</f>
        <v>134</v>
      </c>
      <c r="AP19" s="210">
        <f>SUMPRODUCT(($BN$4:$BN$147='Dummy Table'!$AF19)*($BL$4:$BL$147&gt;$BM$4:$BM$147))</f>
        <v>0</v>
      </c>
      <c r="AQ19" s="210">
        <f>SUMIF($BN$4:$BN$147,'Dummy Table'!$AF19,$BM$4:$BM$147)</f>
        <v>0</v>
      </c>
      <c r="AR19" s="210">
        <f>SUMIF($BN$4:$BN$147,'Dummy Table'!$AF19,$BL$4:$BL$147)</f>
        <v>0</v>
      </c>
      <c r="AS19" s="210">
        <f t="shared" si="26"/>
        <v>0</v>
      </c>
      <c r="AT19" s="210" t="str">
        <f t="shared" si="27"/>
        <v/>
      </c>
      <c r="AU19" s="210">
        <f t="shared" si="28"/>
        <v>0</v>
      </c>
      <c r="AV19" s="210">
        <f t="shared" si="29"/>
        <v>268</v>
      </c>
      <c r="AW19" s="210">
        <f t="shared" si="30"/>
        <v>0</v>
      </c>
      <c r="AX19" s="210">
        <f t="shared" si="31"/>
        <v>0</v>
      </c>
      <c r="AY19" s="210">
        <f t="shared" si="32"/>
        <v>0</v>
      </c>
      <c r="AZ19" s="210">
        <f t="shared" si="33"/>
        <v>0</v>
      </c>
      <c r="BA19" s="210">
        <f t="shared" si="44"/>
        <v>-1</v>
      </c>
      <c r="BB19" s="209" t="str">
        <f t="shared" si="2"/>
        <v/>
      </c>
      <c r="BC19" s="209" t="str">
        <f t="shared" si="3"/>
        <v/>
      </c>
      <c r="BD19" s="209" t="str">
        <f t="shared" si="4"/>
        <v/>
      </c>
      <c r="BE19" s="209">
        <f>RANK(BA19,BA$16:BA$19)</f>
        <v>3</v>
      </c>
      <c r="BF19" s="209">
        <f>SUMPRODUCT((BA$16:BA$19=BA19)*(AZ$16:AZ$19&gt;AZ19))</f>
        <v>0</v>
      </c>
      <c r="BG19" s="209">
        <f>SUMPRODUCT((BA$16:BA$19=BA19)*(BE$16:BE$19=BE19)*(AZ$16:AZ$19=AZ19)*(AQ$16:AQ$19&gt;AQ19))</f>
        <v>0</v>
      </c>
      <c r="BH19" s="209">
        <f>SUMPRODUCT((BA$16:BA$19=BA19)*(BE$16:BE$19=BE19)*(AZ$16:AZ$19=AZ19)*(AQ$16:AQ$19=AQ19)*(BB$16:BB$19&gt;BB19))</f>
        <v>0</v>
      </c>
      <c r="BI19" s="209">
        <f>SUMPRODUCT((BA$16:BA$19=BA19)*(BE$16:BE$19=BE19)*(AZ$16:AZ$19=AZ19)*(AQ$16:AQ$19=AQ19)*(BB$16:BB$19=BB19)*(BC$16:BC$19&gt;BC19))</f>
        <v>0</v>
      </c>
      <c r="BJ19" s="209">
        <f>SUMPRODUCT((BA$16:BA$19=BA19)*(BE$16:BE$19=BE19)*(AZ$16:AZ$19=AZ19)*(AQ$16:AQ$19=AQ19)*(BB$16:BB$19=BB19)*(BC$16:BC$19=BC19)*(BD$16:BD$19&gt;BD19))</f>
        <v>0</v>
      </c>
      <c r="BK19" s="209" t="str">
        <f>IF(AND(COUNTIF($AF$4:$AF$35,'Group Stages'!G25)&gt;0,COUNTIF($AF$4:$AF$35,'Group Stages'!M25)&gt;0,'Group Stages'!I25&lt;&gt;"",'Group Stages'!K25&lt;&gt;""),'Group Stages'!G25,"")</f>
        <v/>
      </c>
      <c r="BL19" s="209" t="str">
        <f>IF($BK19&lt;&gt;"",'Group Stages'!I25,"")</f>
        <v/>
      </c>
      <c r="BM19" s="209" t="str">
        <f>IF($BK19&lt;&gt;"",'Group Stages'!K25,"")</f>
        <v/>
      </c>
      <c r="BN19" s="209" t="str">
        <f>IF($BK19&lt;&gt;"",'Group Stages'!M25,"")</f>
        <v/>
      </c>
      <c r="BO19" s="209" t="str">
        <f t="shared" si="5"/>
        <v/>
      </c>
      <c r="BP19" s="209" t="str">
        <f t="shared" si="34"/>
        <v/>
      </c>
      <c r="BQ19" s="209">
        <f>VLOOKUP($AD19,$B$16:$W$19,22,FALSE)</f>
        <v>0</v>
      </c>
      <c r="BR19" s="209" t="str">
        <f t="shared" ref="BR19" si="81">IF(BR18&lt;&gt;"",AD19,"")</f>
        <v/>
      </c>
      <c r="BS19" s="217">
        <f>SUMPRODUCT(($CW$4:$CW$147='Dummy Table'!$BR19)*($CX$4:$CX$147&gt;$CY$4:$CY$147))</f>
        <v>0</v>
      </c>
      <c r="BT19" s="217">
        <f>SUMPRODUCT(($CW$4:$CW$147='Dummy Table'!$BR19)*($CX$4:$CX$147=$CY$4:$CY$147))</f>
        <v>142</v>
      </c>
      <c r="BU19" s="217">
        <f>SUMPRODUCT(($CW$4:$CW$147='Dummy Table'!$BR19)*($CX$4:$CX$147&lt;$CY$4:$CY$147))</f>
        <v>0</v>
      </c>
      <c r="BV19" s="217">
        <f>SUMIF($CW$4:$CW$147,'Dummy Table'!$BR19,$CX$4:$CX$147)</f>
        <v>0</v>
      </c>
      <c r="BW19" s="217">
        <f>SUMIF($CW$4:$CW$147,'Dummy Table'!$BR19,$CY$4:$CY$147)</f>
        <v>0</v>
      </c>
      <c r="BX19" s="217">
        <f t="shared" si="35"/>
        <v>0</v>
      </c>
      <c r="BY19" s="217" t="str">
        <f t="shared" si="36"/>
        <v/>
      </c>
      <c r="BZ19" s="217">
        <f>SUMPRODUCT(($CZ$4:$CZ$147='Dummy Table'!$BR19)*($CX$4:$CX$147&lt;$CY$4:$CY$147))</f>
        <v>0</v>
      </c>
      <c r="CA19" s="217">
        <f>SUMPRODUCT(($CZ$4:$CZ$147='Dummy Table'!$BR19)*($CX$4:$CX$147=$CY$4:$CY$147))</f>
        <v>142</v>
      </c>
      <c r="CB19" s="217">
        <f>SUMPRODUCT(($CZ$4:$CZ$147='Dummy Table'!$BR19)*($CX$4:$CX$147&gt;$CY$4:$CY$147))</f>
        <v>0</v>
      </c>
      <c r="CC19" s="217">
        <f>SUMIF($CZ$4:$CZ$147,'Dummy Table'!$BR19,$CY$4:$CY$147)</f>
        <v>0</v>
      </c>
      <c r="CD19" s="217">
        <f>SUMIF($CZ$4:$CZ$147,'Dummy Table'!$BR19,$CX$4:$CX$147)</f>
        <v>0</v>
      </c>
      <c r="CE19" s="217">
        <f t="shared" si="37"/>
        <v>0</v>
      </c>
      <c r="CF19" s="217" t="str">
        <f t="shared" si="38"/>
        <v/>
      </c>
      <c r="CG19" s="217">
        <f t="shared" si="39"/>
        <v>0</v>
      </c>
      <c r="CH19" s="217">
        <f t="shared" si="6"/>
        <v>284</v>
      </c>
      <c r="CI19" s="217">
        <f t="shared" si="7"/>
        <v>0</v>
      </c>
      <c r="CJ19" s="217">
        <f t="shared" si="8"/>
        <v>0</v>
      </c>
      <c r="CK19" s="217">
        <f t="shared" si="9"/>
        <v>0</v>
      </c>
      <c r="CL19" s="217">
        <f t="shared" si="10"/>
        <v>0</v>
      </c>
      <c r="CM19" s="217">
        <f t="shared" si="45"/>
        <v>-1</v>
      </c>
      <c r="CN19" s="210">
        <f t="shared" si="40"/>
        <v>10500</v>
      </c>
      <c r="CO19" s="210">
        <f>SUMIF($CZ$4:$CZ$147,'Dummy Table'!$BR19,$CY$4:$CY$147)*2</f>
        <v>0</v>
      </c>
      <c r="CP19" s="210">
        <f>RANK(CM19,CM$16:CM$19)</f>
        <v>1</v>
      </c>
      <c r="CR19" s="210">
        <f>SUMPRODUCT((CM$16:CM$19=CM19)*(CL$16:CL$19&gt;CL19))</f>
        <v>0</v>
      </c>
      <c r="CS19" s="210">
        <f>SUMPRODUCT((CP$16:CP$19=CP19)*(CR$16:CR$19=CR19)*(CO$16:CO$19&gt;CO19))</f>
        <v>0</v>
      </c>
      <c r="CT19" s="210">
        <f>IF(BR19&lt;&gt;"",SUMPRODUCT((CP$16:CP$19=CP19)*(CR$16:CR$19=CR19)*(CS$16:CS$19=CS19)*(V$16:V$19&gt;V19)),0)</f>
        <v>0</v>
      </c>
      <c r="CU19" s="210">
        <f>IF($BR19&lt;&gt;"",SUMPRODUCT((CP$16:CP$19=CP19)*(CR$16:CR$19=CR19)*(CS$16:CS$19=CS19)*(CT$16:CT$19=CT19)*(T$16:T$19&gt;T19)),0)</f>
        <v>0</v>
      </c>
      <c r="CV19" s="210">
        <f>SUMPRODUCT((CP$16:CP$19=CP19)*(CR$16:CR$19=CR19)*(CS$16:CS$19=CS19)*(CT$16:CT$19=CT19)*(CU$16:CU$19=CU19)*(CN$16:CN$19&gt;CN19))</f>
        <v>2</v>
      </c>
      <c r="CW19" s="209" t="str">
        <f>IF(AND(COUNTIF($BR$4:$BR$35,'Group Stages'!$G25)&gt;0,COUNTIF($BR$4:$BR$35,'Group Stages'!$M25)&gt;0),'Group Stages'!$G25,"")</f>
        <v/>
      </c>
      <c r="CX19" s="209" t="str">
        <f>IF($CW19&lt;&gt;"",'Group Stages'!$I25,"")</f>
        <v/>
      </c>
      <c r="CY19" s="209" t="str">
        <f>IF($CW19&lt;&gt;"",'Group Stages'!$K25,"")</f>
        <v/>
      </c>
      <c r="CZ19" s="209" t="str">
        <f>IF($CW19&lt;&gt;"",'Group Stages'!$M25,"")</f>
        <v/>
      </c>
      <c r="DA19" s="210" t="str">
        <f t="shared" si="11"/>
        <v/>
      </c>
      <c r="DB19" s="209" t="str">
        <f t="shared" si="43"/>
        <v/>
      </c>
      <c r="DC19" s="209">
        <v>4</v>
      </c>
      <c r="DD19" s="209" t="str">
        <f t="shared" si="47"/>
        <v>Rosenborg BK</v>
      </c>
      <c r="DE19" s="209" t="str">
        <f t="shared" ref="DE19" si="82">IF(AND(DD19="",DD18="",DD17="",DD16=""),4,IF(AND(DD19="",DD18="",DD17=""),3,IF(AND(DD17&lt;&gt;"",DD18="",DD19=""),2,IF(AND(DD17&lt;&gt;"",DD18&lt;&gt;"",DD19=""),1,""))))</f>
        <v/>
      </c>
      <c r="DF19" s="209" t="str">
        <f>VLOOKUP(DE19,$BO$16:$BP$19,2,FALSE)</f>
        <v/>
      </c>
      <c r="DG19" s="209">
        <v>4</v>
      </c>
      <c r="DH19" s="209" t="str">
        <f t="shared" ref="DH19" si="83">IF(DB19&lt;&gt;"",IF(DA18&lt;DA19,DB19,DB18),IF(DF19&lt;&gt;"",DF19,DD19))</f>
        <v>Rosenborg BK</v>
      </c>
      <c r="DI19" s="209">
        <v>16</v>
      </c>
    </row>
    <row r="20" spans="1:113">
      <c r="A20" s="209">
        <f t="shared" si="12"/>
        <v>4</v>
      </c>
      <c r="B20" s="209" t="str">
        <f>'Team Setup'!B21</f>
        <v>Stade Rennes</v>
      </c>
      <c r="C20" s="210">
        <f>SUMPRODUCT(('Group Stages'!$I$10:$I$153&lt;&gt;"")*('Group Stages'!$K$10:$K$153&lt;&gt;"")*('Group Stages'!$G$10:$G$153='Dummy Table'!$B20)*('Group Stages'!$I$10:$I$153&gt;'Group Stages'!$K$10:$K$153))</f>
        <v>0</v>
      </c>
      <c r="D20" s="210">
        <f>SUMPRODUCT(('Group Stages'!$I$10:$I$153&lt;&gt;"")*('Group Stages'!$K$10:$K$153&lt;&gt;"")*('Group Stages'!$G$10:$G$153='Dummy Table'!$B20)*('Group Stages'!$I$10:$I$153='Group Stages'!$K$10:$K$153))</f>
        <v>1</v>
      </c>
      <c r="E20" s="210">
        <f>SUMPRODUCT(('Group Stages'!$I$10:$I$153&lt;&gt;"")*('Group Stages'!$K$10:$K$153&lt;&gt;"")*('Group Stages'!$G$10:$G$153='Dummy Table'!$B20)*('Group Stages'!$I$10:$I$153&lt;'Group Stages'!$K$10:$K$153))</f>
        <v>1</v>
      </c>
      <c r="F20" s="210">
        <f>SUMIF('Group Stages'!$G$10:$G$153,'Dummy Table'!$B20,'Group Stages'!$I$10:$I$153)</f>
        <v>0</v>
      </c>
      <c r="G20" s="210">
        <f>SUMIF('Group Stages'!$G$10:$G$153,'Dummy Table'!$B20,'Group Stages'!$K$10:$K$153)</f>
        <v>0</v>
      </c>
      <c r="H20" s="210">
        <f t="shared" si="13"/>
        <v>0</v>
      </c>
      <c r="I20" s="210">
        <f t="shared" si="14"/>
        <v>1</v>
      </c>
      <c r="J20" s="209">
        <f>SUMPRODUCT(('Group Stages'!$I$10:$I$153&lt;&gt;"")*('Group Stages'!$K$10:$K$153&lt;&gt;"")*('Group Stages'!$M$10:$M$153='Dummy Table'!$B20)*('Group Stages'!$I$10:$I$153&lt;'Group Stages'!$K$10:$K$153))</f>
        <v>0</v>
      </c>
      <c r="K20" s="209">
        <f>SUMPRODUCT(('Group Stages'!$I$10:$I$153&lt;&gt;"")*('Group Stages'!$K$10:$K$153&lt;&gt;"")*('Group Stages'!$M$10:$M$153='Dummy Table'!$B20)*('Group Stages'!$I$10:$I$153='Group Stages'!$K$10:$K$153))</f>
        <v>0</v>
      </c>
      <c r="L20" s="209">
        <f>SUMPRODUCT(('Group Stages'!$I$10:$I$153&lt;&gt;"")*('Group Stages'!$K$10:$K$153&lt;&gt;"")*('Group Stages'!$M$10:$M$153='Dummy Table'!$B20)*('Group Stages'!$I$10:$I$153&gt;'Group Stages'!$K$10:$K$153))</f>
        <v>2</v>
      </c>
      <c r="M20" s="209">
        <f>SUMIF('Group Stages'!$M$10:$M$153,'Dummy Table'!$B20,'Group Stages'!$K$10:$K$153)</f>
        <v>0</v>
      </c>
      <c r="N20" s="209">
        <f>SUMIF('Group Stages'!$M$10:$M$153,'Dummy Table'!$B20,'Group Stages'!$I$10:$I$153)</f>
        <v>0</v>
      </c>
      <c r="O20" s="209">
        <f t="shared" si="15"/>
        <v>0</v>
      </c>
      <c r="P20" s="209">
        <f t="shared" si="16"/>
        <v>0</v>
      </c>
      <c r="Q20" s="209">
        <f t="shared" si="17"/>
        <v>0</v>
      </c>
      <c r="R20" s="209">
        <f t="shared" si="18"/>
        <v>1</v>
      </c>
      <c r="S20" s="209">
        <f t="shared" si="19"/>
        <v>3</v>
      </c>
      <c r="T20" s="209">
        <f t="shared" si="20"/>
        <v>0</v>
      </c>
      <c r="U20" s="209">
        <f t="shared" si="21"/>
        <v>0</v>
      </c>
      <c r="V20" s="209">
        <f t="shared" si="22"/>
        <v>0</v>
      </c>
      <c r="W20" s="209">
        <f t="shared" si="23"/>
        <v>1</v>
      </c>
      <c r="X20" s="210">
        <f>IF('Team Setup'!F21&lt;&gt;"",'Team Setup'!F21,DI20)</f>
        <v>12000</v>
      </c>
      <c r="Y20" s="210">
        <f>RANK(W20,W$20:W$23)</f>
        <v>4</v>
      </c>
      <c r="Z20" s="210">
        <f>SUMPRODUCT((W$20:W$23=W20)*(V$20:V$23&gt;V20))</f>
        <v>0</v>
      </c>
      <c r="AA20" s="210">
        <f>SUMPRODUCT((Y$20:Y$23=Y20)*(Z$20:Z$23=Z20)*(T$20:T$23&gt;T20))</f>
        <v>0</v>
      </c>
      <c r="AB20" s="210">
        <f>SUMPRODUCT((Y$20:Y$23=Y20)*(Z$20:Z$23=Z20)*(T$20:T$23=T20)*(X$20:X$23&gt;X20))</f>
        <v>0</v>
      </c>
      <c r="AC20" s="209">
        <v>1</v>
      </c>
      <c r="AD20" s="209" t="str">
        <f>VLOOKUP(AC20,$A$20:$B$23,2,FALSE)</f>
        <v>Celtic FC</v>
      </c>
      <c r="AE20" s="209">
        <f>VLOOKUP($AD20,$B$20:$W$23,22,FALSE)</f>
        <v>10</v>
      </c>
      <c r="AF20" s="209" t="str">
        <f t="shared" ref="AF20" si="84">IF(AE20=AE21,AD20,"")</f>
        <v/>
      </c>
      <c r="AG20" s="210">
        <f>SUMPRODUCT(($BK$4:$BK$147='Dummy Table'!$AF20)*($BL$4:$BL$147&gt;$BM$4:$BM$147))</f>
        <v>0</v>
      </c>
      <c r="AH20" s="210">
        <f>SUMPRODUCT(($BK$4:$BK$147='Dummy Table'!$AF20)*($BL$4:$BL$147=$BM$4:$BM$147))</f>
        <v>134</v>
      </c>
      <c r="AI20" s="210">
        <f>SUMPRODUCT(($BK$4:$BK$147='Dummy Table'!$AF20)*($BL$4:$BL$147&lt;$BM$4:$BM$147))</f>
        <v>0</v>
      </c>
      <c r="AJ20" s="210">
        <f>SUMIF($BK$4:$BK$147,'Dummy Table'!$AF20,$BL$4:$BL$147)</f>
        <v>0</v>
      </c>
      <c r="AK20" s="210">
        <f>SUMIF($BK$4:$BK$147,'Dummy Table'!$AF20,$BM$4:$BM$147)</f>
        <v>0</v>
      </c>
      <c r="AL20" s="210">
        <f t="shared" si="24"/>
        <v>0</v>
      </c>
      <c r="AM20" s="210" t="str">
        <f t="shared" si="25"/>
        <v/>
      </c>
      <c r="AN20" s="210">
        <f>SUMPRODUCT(($BN$4:$BN$147='Dummy Table'!$AF20)*($BL$4:$BL$147&lt;$BM$4:$BM$147))</f>
        <v>0</v>
      </c>
      <c r="AO20" s="210">
        <f>SUMPRODUCT(($BN$4:$BN$147='Dummy Table'!$AF20)*($BL$4:$BL$147=$BM$4:$BM$147))</f>
        <v>134</v>
      </c>
      <c r="AP20" s="210">
        <f>SUMPRODUCT(($BN$4:$BN$147='Dummy Table'!$AF20)*($BL$4:$BL$147&gt;$BM$4:$BM$147))</f>
        <v>0</v>
      </c>
      <c r="AQ20" s="210">
        <f>SUMIF($BN$4:$BN$147,'Dummy Table'!$AF20,$BM$4:$BM$147)</f>
        <v>0</v>
      </c>
      <c r="AR20" s="210">
        <f>SUMIF($BN$4:$BN$147,'Dummy Table'!$AF20,$BL$4:$BL$147)</f>
        <v>0</v>
      </c>
      <c r="AS20" s="210">
        <f t="shared" si="26"/>
        <v>0</v>
      </c>
      <c r="AT20" s="210" t="str">
        <f t="shared" si="27"/>
        <v/>
      </c>
      <c r="AU20" s="210">
        <f t="shared" si="28"/>
        <v>0</v>
      </c>
      <c r="AV20" s="210">
        <f t="shared" si="29"/>
        <v>268</v>
      </c>
      <c r="AW20" s="210">
        <f t="shared" si="30"/>
        <v>0</v>
      </c>
      <c r="AX20" s="210">
        <f t="shared" si="31"/>
        <v>0</v>
      </c>
      <c r="AY20" s="210">
        <f t="shared" si="32"/>
        <v>0</v>
      </c>
      <c r="AZ20" s="210">
        <f t="shared" si="33"/>
        <v>0</v>
      </c>
      <c r="BA20" s="210">
        <f t="shared" si="44"/>
        <v>-1</v>
      </c>
      <c r="BB20" s="209" t="str">
        <f t="shared" si="2"/>
        <v/>
      </c>
      <c r="BC20" s="209" t="str">
        <f t="shared" si="3"/>
        <v/>
      </c>
      <c r="BD20" s="209" t="str">
        <f t="shared" si="4"/>
        <v/>
      </c>
      <c r="BE20" s="209">
        <f>RANK(BA20,BA$20:BA$23)</f>
        <v>1</v>
      </c>
      <c r="BF20" s="209">
        <f>SUMPRODUCT((BA$20:BA$23=BA20)*(AZ$20:AZ$23&gt;AZ20))</f>
        <v>0</v>
      </c>
      <c r="BG20" s="209">
        <f>SUMPRODUCT((BA$20:BA$23=BA20)*(BE$20:BE$23=BE20)*(AZ$20:AZ$23=AZ20)*(AQ$20:AQ$23&gt;AQ20))</f>
        <v>0</v>
      </c>
      <c r="BH20" s="209">
        <f>SUMPRODUCT((BA$20:BA$23=BA20)*(BE$20:BE$23=BE20)*(AZ$20:AZ$23=AZ20)*(AQ$20:AQ$23=AQ20)*(BB$20:BB$23&gt;BB20))</f>
        <v>0</v>
      </c>
      <c r="BI20" s="209">
        <f>SUMPRODUCT((BA$20:BA$23=BA20)*(BE$20:BE$23=BE20)*(AZ$20:AZ$23=AZ20)*(AQ$20:AQ$23=AQ20)*(BB$20:BB$23=BB20)*(BC$20:BC$23&gt;BC20))</f>
        <v>0</v>
      </c>
      <c r="BJ20" s="209">
        <f>SUMPRODUCT((BA$20:BA$23=BA20)*(BE$20:BE$23=BE20)*(AZ$20:AZ$23=AZ20)*(AQ$20:AQ$23=AQ20)*(BB$20:BB$23=BB20)*(BC$20:BC$23=BC20)*(BD$20:BD$23&gt;BD20))</f>
        <v>0</v>
      </c>
      <c r="BK20" s="209" t="str">
        <f>IF(AND(COUNTIF($AF$4:$AF$35,'Group Stages'!G26)&gt;0,COUNTIF($AF$4:$AF$35,'Group Stages'!M26)&gt;0,'Group Stages'!I26&lt;&gt;"",'Group Stages'!K26&lt;&gt;""),'Group Stages'!G26,"")</f>
        <v/>
      </c>
      <c r="BL20" s="209" t="str">
        <f>IF($BK20&lt;&gt;"",'Group Stages'!I26,"")</f>
        <v/>
      </c>
      <c r="BM20" s="209" t="str">
        <f>IF($BK20&lt;&gt;"",'Group Stages'!K26,"")</f>
        <v/>
      </c>
      <c r="BN20" s="209" t="str">
        <f>IF($BK20&lt;&gt;"",'Group Stages'!M26,"")</f>
        <v/>
      </c>
      <c r="BO20" s="209" t="str">
        <f t="shared" si="5"/>
        <v/>
      </c>
      <c r="BP20" s="209" t="str">
        <f t="shared" si="34"/>
        <v/>
      </c>
      <c r="BQ20" s="209">
        <f>VLOOKUP($AD20,$B$20:$W$23,22,FALSE)</f>
        <v>10</v>
      </c>
      <c r="BS20" s="217">
        <f>SUMPRODUCT(($CW$4:$CW$147='Dummy Table'!$BR20)*($CX$4:$CX$147&gt;$CY$4:$CY$147))</f>
        <v>0</v>
      </c>
      <c r="BT20" s="217">
        <f>SUMPRODUCT(($CW$4:$CW$147='Dummy Table'!$BR20)*($CX$4:$CX$147=$CY$4:$CY$147))</f>
        <v>142</v>
      </c>
      <c r="BU20" s="217">
        <f>SUMPRODUCT(($CW$4:$CW$147='Dummy Table'!$BR20)*($CX$4:$CX$147&lt;$CY$4:$CY$147))</f>
        <v>0</v>
      </c>
      <c r="BV20" s="217">
        <f>SUMIF($CW$4:$CW$147,'Dummy Table'!$BR20,$CX$4:$CX$147)</f>
        <v>0</v>
      </c>
      <c r="BW20" s="217">
        <f>SUMIF($CW$4:$CW$147,'Dummy Table'!$BR20,$CY$4:$CY$147)</f>
        <v>0</v>
      </c>
      <c r="BX20" s="217">
        <f t="shared" si="35"/>
        <v>0</v>
      </c>
      <c r="BY20" s="217" t="str">
        <f t="shared" si="36"/>
        <v/>
      </c>
      <c r="BZ20" s="217">
        <f>SUMPRODUCT(($CZ$4:$CZ$147='Dummy Table'!$BR20)*($CX$4:$CX$147&lt;$CY$4:$CY$147))</f>
        <v>0</v>
      </c>
      <c r="CA20" s="217">
        <f>SUMPRODUCT(($CZ$4:$CZ$147='Dummy Table'!$BR20)*($CX$4:$CX$147=$CY$4:$CY$147))</f>
        <v>142</v>
      </c>
      <c r="CB20" s="217">
        <f>SUMPRODUCT(($CZ$4:$CZ$147='Dummy Table'!$BR20)*($CX$4:$CX$147&gt;$CY$4:$CY$147))</f>
        <v>0</v>
      </c>
      <c r="CC20" s="217">
        <f>SUMIF($CZ$4:$CZ$147,'Dummy Table'!$BR20,$CY$4:$CY$147)</f>
        <v>0</v>
      </c>
      <c r="CD20" s="217">
        <f>SUMIF($CZ$4:$CZ$147,'Dummy Table'!$BR20,$CX$4:$CX$147)</f>
        <v>0</v>
      </c>
      <c r="CE20" s="217">
        <f t="shared" si="37"/>
        <v>0</v>
      </c>
      <c r="CF20" s="217" t="str">
        <f t="shared" si="38"/>
        <v/>
      </c>
      <c r="CG20" s="217">
        <f t="shared" si="39"/>
        <v>0</v>
      </c>
      <c r="CH20" s="217">
        <f t="shared" si="6"/>
        <v>284</v>
      </c>
      <c r="CI20" s="217">
        <f t="shared" si="7"/>
        <v>0</v>
      </c>
      <c r="CJ20" s="217">
        <f t="shared" si="8"/>
        <v>0</v>
      </c>
      <c r="CK20" s="217">
        <f t="shared" si="9"/>
        <v>0</v>
      </c>
      <c r="CL20" s="217">
        <f t="shared" si="10"/>
        <v>0</v>
      </c>
      <c r="CM20" s="217">
        <f t="shared" si="45"/>
        <v>-1</v>
      </c>
      <c r="CN20" s="210">
        <f t="shared" si="40"/>
        <v>12000</v>
      </c>
      <c r="CO20" s="210">
        <f>SUMIF($CZ$4:$CZ$147,'Dummy Table'!$BR20,$CY$4:$CY$147)*2</f>
        <v>0</v>
      </c>
      <c r="CP20" s="210">
        <f>RANK(CM20,CM$20:CM$23)</f>
        <v>1</v>
      </c>
      <c r="CR20" s="210">
        <f>SUMPRODUCT((CM$20:CM$23=CM20)*(CL$20:CL$23&gt;CL20))</f>
        <v>0</v>
      </c>
      <c r="CS20" s="210">
        <f>SUMPRODUCT((CP$20:CP$23=CP20)*(CR$20:CR$23=CR20)*(CO$20:CO$23&gt;CO20))</f>
        <v>0</v>
      </c>
      <c r="CT20" s="210">
        <f>IF(BR20&lt;&gt;"",SUMPRODUCT((CP$20:CP$23=CP20)*(CR$20:CR$23=CR20)*(CS$20:CS$23=CS20)*(V$20:V$23&gt;V20)),0)</f>
        <v>0</v>
      </c>
      <c r="CU20" s="210">
        <f>IF($BR20&lt;&gt;"",SUMPRODUCT((CP$20:CP$23=CP20)*(CR$20:CR$23=CR20)*(CS$20:CS$23=CS20)*(CT$20:CT$23=CT20)*(T$20:T$23&gt;T20)),0)</f>
        <v>0</v>
      </c>
      <c r="CV20" s="210">
        <f>SUMPRODUCT((CP$20:CP$23=CP20)*(CR$20:CR$23=CR20)*(CS$20:CS$23=CS20)*(CT$20:CT$23=CT20)*(CU$20:CU$23=CU20)*(CN$20:CN$23&gt;CN20))</f>
        <v>2</v>
      </c>
      <c r="CW20" s="209" t="str">
        <f>IF(AND(COUNTIF($BR$4:$BR$35,'Group Stages'!$G26)&gt;0,COUNTIF($BR$4:$BR$35,'Group Stages'!$M26)&gt;0),'Group Stages'!$G26,"")</f>
        <v/>
      </c>
      <c r="CX20" s="209" t="str">
        <f>IF($CW20&lt;&gt;"",'Group Stages'!$I26,"")</f>
        <v/>
      </c>
      <c r="CY20" s="209" t="str">
        <f>IF($CW20&lt;&gt;"",'Group Stages'!$K26,"")</f>
        <v/>
      </c>
      <c r="CZ20" s="209" t="str">
        <f>IF($CW20&lt;&gt;"",'Group Stages'!$M26,"")</f>
        <v/>
      </c>
      <c r="DA20" s="210" t="str">
        <f t="shared" si="11"/>
        <v/>
      </c>
      <c r="DB20" s="209" t="str">
        <f t="shared" si="43"/>
        <v/>
      </c>
      <c r="DC20" s="209">
        <v>1</v>
      </c>
      <c r="DD20" s="209" t="str">
        <f t="shared" si="47"/>
        <v>Celtic FC</v>
      </c>
      <c r="DE20" s="209" t="str">
        <f t="shared" ref="DE20" si="85">IF(DD20="",DC20,"")</f>
        <v/>
      </c>
      <c r="DF20" s="209" t="str">
        <f>VLOOKUP(DE20,$BO$20:$BP$23,2,FALSE)</f>
        <v/>
      </c>
      <c r="DG20" s="209">
        <v>1</v>
      </c>
      <c r="DH20" s="209" t="str">
        <f t="shared" ref="DH20:DH21" si="86">IF(DD20="",DF20,DD20)</f>
        <v>Celtic FC</v>
      </c>
      <c r="DI20" s="209">
        <v>17</v>
      </c>
    </row>
    <row r="21" spans="1:113">
      <c r="A21" s="209">
        <f t="shared" si="12"/>
        <v>2</v>
      </c>
      <c r="B21" s="209" t="str">
        <f>'Team Setup'!B22</f>
        <v>CFR Cluj</v>
      </c>
      <c r="C21" s="210">
        <f>SUMPRODUCT(('Group Stages'!$I$10:$I$153&lt;&gt;"")*('Group Stages'!$K$10:$K$153&lt;&gt;"")*('Group Stages'!$G$10:$G$153='Dummy Table'!$B21)*('Group Stages'!$I$10:$I$153&gt;'Group Stages'!$K$10:$K$153))</f>
        <v>2</v>
      </c>
      <c r="D21" s="210">
        <f>SUMPRODUCT(('Group Stages'!$I$10:$I$153&lt;&gt;"")*('Group Stages'!$K$10:$K$153&lt;&gt;"")*('Group Stages'!$G$10:$G$153='Dummy Table'!$B21)*('Group Stages'!$I$10:$I$153='Group Stages'!$K$10:$K$153))</f>
        <v>0</v>
      </c>
      <c r="E21" s="210">
        <f>SUMPRODUCT(('Group Stages'!$I$10:$I$153&lt;&gt;"")*('Group Stages'!$K$10:$K$153&lt;&gt;"")*('Group Stages'!$G$10:$G$153='Dummy Table'!$B21)*('Group Stages'!$I$10:$I$153&lt;'Group Stages'!$K$10:$K$153))</f>
        <v>0</v>
      </c>
      <c r="F21" s="210">
        <f>SUMIF('Group Stages'!$G$10:$G$153,'Dummy Table'!$B21,'Group Stages'!$I$10:$I$153)</f>
        <v>0</v>
      </c>
      <c r="G21" s="210">
        <f>SUMIF('Group Stages'!$G$10:$G$153,'Dummy Table'!$B21,'Group Stages'!$K$10:$K$153)</f>
        <v>0</v>
      </c>
      <c r="H21" s="210">
        <f t="shared" si="13"/>
        <v>0</v>
      </c>
      <c r="I21" s="210">
        <f t="shared" si="14"/>
        <v>6</v>
      </c>
      <c r="J21" s="209">
        <f>SUMPRODUCT(('Group Stages'!$I$10:$I$153&lt;&gt;"")*('Group Stages'!$K$10:$K$153&lt;&gt;"")*('Group Stages'!$M$10:$M$153='Dummy Table'!$B21)*('Group Stages'!$I$10:$I$153&lt;'Group Stages'!$K$10:$K$153))</f>
        <v>1</v>
      </c>
      <c r="K21" s="209">
        <f>SUMPRODUCT(('Group Stages'!$I$10:$I$153&lt;&gt;"")*('Group Stages'!$K$10:$K$153&lt;&gt;"")*('Group Stages'!$M$10:$M$153='Dummy Table'!$B21)*('Group Stages'!$I$10:$I$153='Group Stages'!$K$10:$K$153))</f>
        <v>0</v>
      </c>
      <c r="L21" s="209">
        <f>SUMPRODUCT(('Group Stages'!$I$10:$I$153&lt;&gt;"")*('Group Stages'!$K$10:$K$153&lt;&gt;"")*('Group Stages'!$M$10:$M$153='Dummy Table'!$B21)*('Group Stages'!$I$10:$I$153&gt;'Group Stages'!$K$10:$K$153))</f>
        <v>1</v>
      </c>
      <c r="M21" s="209">
        <f>SUMIF('Group Stages'!$M$10:$M$153,'Dummy Table'!$B21,'Group Stages'!$K$10:$K$153)</f>
        <v>0</v>
      </c>
      <c r="N21" s="209">
        <f>SUMIF('Group Stages'!$M$10:$M$153,'Dummy Table'!$B21,'Group Stages'!$I$10:$I$153)</f>
        <v>0</v>
      </c>
      <c r="O21" s="209">
        <f t="shared" si="15"/>
        <v>0</v>
      </c>
      <c r="P21" s="209">
        <f t="shared" si="16"/>
        <v>3</v>
      </c>
      <c r="Q21" s="209">
        <f t="shared" si="17"/>
        <v>3</v>
      </c>
      <c r="R21" s="209">
        <f t="shared" si="18"/>
        <v>0</v>
      </c>
      <c r="S21" s="209">
        <f t="shared" si="19"/>
        <v>1</v>
      </c>
      <c r="T21" s="209">
        <f t="shared" si="20"/>
        <v>0</v>
      </c>
      <c r="U21" s="209">
        <f t="shared" si="21"/>
        <v>0</v>
      </c>
      <c r="V21" s="209">
        <f t="shared" si="22"/>
        <v>0</v>
      </c>
      <c r="W21" s="209">
        <f t="shared" si="23"/>
        <v>9</v>
      </c>
      <c r="X21" s="210">
        <f>IF('Team Setup'!F22&lt;&gt;"",'Team Setup'!F22,DI21)</f>
        <v>8500</v>
      </c>
      <c r="Y21" s="210">
        <f>RANK(W21,W$20:W$23)</f>
        <v>2</v>
      </c>
      <c r="Z21" s="210">
        <f>SUMPRODUCT((W$20:W$23=W21)*(V$20:V$23&gt;V21))</f>
        <v>0</v>
      </c>
      <c r="AA21" s="210">
        <f>SUMPRODUCT((Y$20:Y$23=Y21)*(Z$20:Z$23=Z21)*(T$20:T$23&gt;T21))</f>
        <v>0</v>
      </c>
      <c r="AB21" s="210">
        <f>SUMPRODUCT((Y$20:Y$23=Y21)*(Z$20:Z$23=Z21)*(T$20:T$23=T21)*(X$20:X$23&gt;X21))</f>
        <v>0</v>
      </c>
      <c r="AC21" s="209">
        <v>2</v>
      </c>
      <c r="AD21" s="209" t="str">
        <f>VLOOKUP(AC21,$A$20:$B$23,2,FALSE)</f>
        <v>CFR Cluj</v>
      </c>
      <c r="AE21" s="209">
        <f>VLOOKUP($AD21,$B$20:$W$23,22,FALSE)</f>
        <v>9</v>
      </c>
      <c r="AF21" s="209" t="str">
        <f t="shared" ref="AF21" si="87">IF(OR(AE21=AE20,AE21=AE22),AD21,"")</f>
        <v/>
      </c>
      <c r="AG21" s="210">
        <f>SUMPRODUCT(($BK$4:$BK$147='Dummy Table'!$AF21)*($BL$4:$BL$147&gt;$BM$4:$BM$147))</f>
        <v>0</v>
      </c>
      <c r="AH21" s="210">
        <f>SUMPRODUCT(($BK$4:$BK$147='Dummy Table'!$AF21)*($BL$4:$BL$147=$BM$4:$BM$147))</f>
        <v>134</v>
      </c>
      <c r="AI21" s="210">
        <f>SUMPRODUCT(($BK$4:$BK$147='Dummy Table'!$AF21)*($BL$4:$BL$147&lt;$BM$4:$BM$147))</f>
        <v>0</v>
      </c>
      <c r="AJ21" s="210">
        <f>SUMIF($BK$4:$BK$147,'Dummy Table'!$AF21,$BL$4:$BL$147)</f>
        <v>0</v>
      </c>
      <c r="AK21" s="210">
        <f>SUMIF($BK$4:$BK$147,'Dummy Table'!$AF21,$BM$4:$BM$147)</f>
        <v>0</v>
      </c>
      <c r="AL21" s="210">
        <f t="shared" si="24"/>
        <v>0</v>
      </c>
      <c r="AM21" s="210" t="str">
        <f t="shared" si="25"/>
        <v/>
      </c>
      <c r="AN21" s="210">
        <f>SUMPRODUCT(($BN$4:$BN$147='Dummy Table'!$AF21)*($BL$4:$BL$147&lt;$BM$4:$BM$147))</f>
        <v>0</v>
      </c>
      <c r="AO21" s="210">
        <f>SUMPRODUCT(($BN$4:$BN$147='Dummy Table'!$AF21)*($BL$4:$BL$147=$BM$4:$BM$147))</f>
        <v>134</v>
      </c>
      <c r="AP21" s="210">
        <f>SUMPRODUCT(($BN$4:$BN$147='Dummy Table'!$AF21)*($BL$4:$BL$147&gt;$BM$4:$BM$147))</f>
        <v>0</v>
      </c>
      <c r="AQ21" s="210">
        <f>SUMIF($BN$4:$BN$147,'Dummy Table'!$AF21,$BM$4:$BM$147)</f>
        <v>0</v>
      </c>
      <c r="AR21" s="210">
        <f>SUMIF($BN$4:$BN$147,'Dummy Table'!$AF21,$BL$4:$BL$147)</f>
        <v>0</v>
      </c>
      <c r="AS21" s="210">
        <f t="shared" si="26"/>
        <v>0</v>
      </c>
      <c r="AT21" s="210" t="str">
        <f t="shared" si="27"/>
        <v/>
      </c>
      <c r="AU21" s="210">
        <f t="shared" si="28"/>
        <v>0</v>
      </c>
      <c r="AV21" s="210">
        <f t="shared" si="29"/>
        <v>268</v>
      </c>
      <c r="AW21" s="210">
        <f t="shared" si="30"/>
        <v>0</v>
      </c>
      <c r="AX21" s="210">
        <f t="shared" si="31"/>
        <v>0</v>
      </c>
      <c r="AY21" s="210">
        <f t="shared" si="32"/>
        <v>0</v>
      </c>
      <c r="AZ21" s="210">
        <f t="shared" si="33"/>
        <v>0</v>
      </c>
      <c r="BA21" s="210">
        <f t="shared" si="44"/>
        <v>-1</v>
      </c>
      <c r="BB21" s="209" t="str">
        <f t="shared" si="2"/>
        <v/>
      </c>
      <c r="BC21" s="209" t="str">
        <f t="shared" si="3"/>
        <v/>
      </c>
      <c r="BD21" s="209" t="str">
        <f t="shared" si="4"/>
        <v/>
      </c>
      <c r="BE21" s="209">
        <f>RANK(BA21,BA$20:BA$23)</f>
        <v>1</v>
      </c>
      <c r="BF21" s="209">
        <f>SUMPRODUCT((BA$20:BA$23=BA21)*(AZ$20:AZ$23&gt;AZ21))</f>
        <v>0</v>
      </c>
      <c r="BG21" s="209">
        <f>SUMPRODUCT((BA$20:BA$23=BA21)*(BE$20:BE$23=BE21)*(AZ$20:AZ$23=AZ21)*(AQ$20:AQ$23&gt;AQ21))</f>
        <v>0</v>
      </c>
      <c r="BH21" s="209">
        <f>SUMPRODUCT((BA$20:BA$23=BA21)*(BE$20:BE$23=BE21)*(AZ$20:AZ$23=AZ21)*(AQ$20:AQ$23=AQ21)*(BB$20:BB$23&gt;BB21))</f>
        <v>0</v>
      </c>
      <c r="BI21" s="209">
        <f>SUMPRODUCT((BA$20:BA$23=BA21)*(BE$20:BE$23=BE21)*(AZ$20:AZ$23=AZ21)*(AQ$20:AQ$23=AQ21)*(BB$20:BB$23=BB21)*(BC$20:BC$23&gt;BC21))</f>
        <v>0</v>
      </c>
      <c r="BJ21" s="209">
        <f>SUMPRODUCT((BA$20:BA$23=BA21)*(BE$20:BE$23=BE21)*(AZ$20:AZ$23=AZ21)*(AQ$20:AQ$23=AQ21)*(BB$20:BB$23=BB21)*(BC$20:BC$23=BC21)*(BD$20:BD$23&gt;BD21))</f>
        <v>0</v>
      </c>
      <c r="BK21" s="209" t="str">
        <f>IF(AND(COUNTIF($AF$4:$AF$35,'Group Stages'!G27)&gt;0,COUNTIF($AF$4:$AF$35,'Group Stages'!M27)&gt;0,'Group Stages'!I27&lt;&gt;"",'Group Stages'!K27&lt;&gt;""),'Group Stages'!G27,"")</f>
        <v/>
      </c>
      <c r="BL21" s="209" t="str">
        <f>IF($BK21&lt;&gt;"",'Group Stages'!I27,"")</f>
        <v/>
      </c>
      <c r="BM21" s="209" t="str">
        <f>IF($BK21&lt;&gt;"",'Group Stages'!K27,"")</f>
        <v/>
      </c>
      <c r="BN21" s="209" t="str">
        <f>IF($BK21&lt;&gt;"",'Group Stages'!M27,"")</f>
        <v/>
      </c>
      <c r="BO21" s="209" t="str">
        <f t="shared" si="5"/>
        <v/>
      </c>
      <c r="BP21" s="209" t="str">
        <f t="shared" si="34"/>
        <v/>
      </c>
      <c r="BQ21" s="209">
        <f>VLOOKUP($AD21,$B$20:$W$23,22,FALSE)</f>
        <v>9</v>
      </c>
      <c r="BS21" s="217">
        <f>SUMPRODUCT(($CW$4:$CW$147='Dummy Table'!$BR21)*($CX$4:$CX$147&gt;$CY$4:$CY$147))</f>
        <v>0</v>
      </c>
      <c r="BT21" s="217">
        <f>SUMPRODUCT(($CW$4:$CW$147='Dummy Table'!$BR21)*($CX$4:$CX$147=$CY$4:$CY$147))</f>
        <v>142</v>
      </c>
      <c r="BU21" s="217">
        <f>SUMPRODUCT(($CW$4:$CW$147='Dummy Table'!$BR21)*($CX$4:$CX$147&lt;$CY$4:$CY$147))</f>
        <v>0</v>
      </c>
      <c r="BV21" s="217">
        <f>SUMIF($CW$4:$CW$147,'Dummy Table'!$BR21,$CX$4:$CX$147)</f>
        <v>0</v>
      </c>
      <c r="BW21" s="217">
        <f>SUMIF($CW$4:$CW$147,'Dummy Table'!$BR21,$CY$4:$CY$147)</f>
        <v>0</v>
      </c>
      <c r="BX21" s="217">
        <f t="shared" si="35"/>
        <v>0</v>
      </c>
      <c r="BY21" s="217" t="str">
        <f t="shared" si="36"/>
        <v/>
      </c>
      <c r="BZ21" s="217">
        <f>SUMPRODUCT(($CZ$4:$CZ$147='Dummy Table'!$BR21)*($CX$4:$CX$147&lt;$CY$4:$CY$147))</f>
        <v>0</v>
      </c>
      <c r="CA21" s="217">
        <f>SUMPRODUCT(($CZ$4:$CZ$147='Dummy Table'!$BR21)*($CX$4:$CX$147=$CY$4:$CY$147))</f>
        <v>142</v>
      </c>
      <c r="CB21" s="217">
        <f>SUMPRODUCT(($CZ$4:$CZ$147='Dummy Table'!$BR21)*($CX$4:$CX$147&gt;$CY$4:$CY$147))</f>
        <v>0</v>
      </c>
      <c r="CC21" s="217">
        <f>SUMIF($CZ$4:$CZ$147,'Dummy Table'!$BR21,$CY$4:$CY$147)</f>
        <v>0</v>
      </c>
      <c r="CD21" s="217">
        <f>SUMIF($CZ$4:$CZ$147,'Dummy Table'!$BR21,$CX$4:$CX$147)</f>
        <v>0</v>
      </c>
      <c r="CE21" s="217">
        <f t="shared" si="37"/>
        <v>0</v>
      </c>
      <c r="CF21" s="217" t="str">
        <f t="shared" si="38"/>
        <v/>
      </c>
      <c r="CG21" s="217">
        <f t="shared" si="39"/>
        <v>0</v>
      </c>
      <c r="CH21" s="217">
        <f t="shared" si="6"/>
        <v>284</v>
      </c>
      <c r="CI21" s="217">
        <f t="shared" si="7"/>
        <v>0</v>
      </c>
      <c r="CJ21" s="217">
        <f t="shared" si="8"/>
        <v>0</v>
      </c>
      <c r="CK21" s="217">
        <f t="shared" si="9"/>
        <v>0</v>
      </c>
      <c r="CL21" s="217">
        <f t="shared" si="10"/>
        <v>0</v>
      </c>
      <c r="CM21" s="217">
        <f t="shared" si="45"/>
        <v>-1</v>
      </c>
      <c r="CN21" s="210">
        <f t="shared" si="40"/>
        <v>8500</v>
      </c>
      <c r="CO21" s="210">
        <f>SUMIF($CZ$4:$CZ$147,'Dummy Table'!$BR21,$CY$4:$CY$147)*2</f>
        <v>0</v>
      </c>
      <c r="CP21" s="210">
        <f>RANK(CM21,CM$20:CM$23)</f>
        <v>1</v>
      </c>
      <c r="CR21" s="210">
        <f>SUMPRODUCT((CM$20:CM$23=CM21)*(CL$20:CL$23&gt;CL21))</f>
        <v>0</v>
      </c>
      <c r="CS21" s="210">
        <f>SUMPRODUCT((CP$20:CP$23=CP21)*(CR$20:CR$23=CR21)*(CO$20:CO$23&gt;CO21))</f>
        <v>0</v>
      </c>
      <c r="CT21" s="210">
        <f>IF(BR21&lt;&gt;"",SUMPRODUCT((CP$20:CP$23=CP21)*(CR$20:CR$23=CR21)*(CS$20:CS$23=CS21)*(V$20:V$23&gt;V21)),0)</f>
        <v>0</v>
      </c>
      <c r="CU21" s="210">
        <f>IF($BR21&lt;&gt;"",SUMPRODUCT((CP$20:CP$23=CP21)*(CR$20:CR$23=CR21)*(CS$20:CS$23=CS21)*(CT$20:CT$23=CT21)*(T$20:T$23&gt;T21)),0)</f>
        <v>0</v>
      </c>
      <c r="CV21" s="210">
        <f>SUMPRODUCT((CP$20:CP$23=CP21)*(CR$20:CR$23=CR21)*(CS$20:CS$23=CS21)*(CT$20:CT$23=CT21)*(CU$20:CU$23=CU21)*(CN$20:CN$23&gt;CN21))</f>
        <v>3</v>
      </c>
      <c r="CW21" s="209" t="str">
        <f>IF(AND(COUNTIF($BR$4:$BR$35,'Group Stages'!$G27)&gt;0,COUNTIF($BR$4:$BR$35,'Group Stages'!$M27)&gt;0),'Group Stages'!$G27,"")</f>
        <v/>
      </c>
      <c r="CX21" s="209" t="str">
        <f>IF($CW21&lt;&gt;"",'Group Stages'!$I27,"")</f>
        <v/>
      </c>
      <c r="CY21" s="209" t="str">
        <f>IF($CW21&lt;&gt;"",'Group Stages'!$K27,"")</f>
        <v/>
      </c>
      <c r="CZ21" s="209" t="str">
        <f>IF($CW21&lt;&gt;"",'Group Stages'!$M27,"")</f>
        <v/>
      </c>
      <c r="DA21" s="210" t="str">
        <f t="shared" si="11"/>
        <v/>
      </c>
      <c r="DB21" s="209" t="str">
        <f t="shared" si="43"/>
        <v/>
      </c>
      <c r="DC21" s="209">
        <v>2</v>
      </c>
      <c r="DD21" s="209" t="str">
        <f t="shared" si="47"/>
        <v>CFR Cluj</v>
      </c>
      <c r="DE21" s="209" t="str">
        <f t="shared" ref="DE21" si="88">IF(AND(DD21="",DD20=""),DC21,IF(AND(DD20&lt;&gt;"",DD21=""),1,""))</f>
        <v/>
      </c>
      <c r="DF21" s="209" t="str">
        <f>VLOOKUP(DE21,$BO$20:$BP$23,2,FALSE)</f>
        <v/>
      </c>
      <c r="DG21" s="209">
        <v>2</v>
      </c>
      <c r="DH21" s="209" t="str">
        <f t="shared" si="86"/>
        <v>CFR Cluj</v>
      </c>
      <c r="DI21" s="209">
        <v>18</v>
      </c>
    </row>
    <row r="22" spans="1:113">
      <c r="A22" s="209">
        <f t="shared" si="12"/>
        <v>1</v>
      </c>
      <c r="B22" s="209" t="str">
        <f>'Team Setup'!B23</f>
        <v>Celtic FC</v>
      </c>
      <c r="C22" s="210">
        <f>SUMPRODUCT(('Group Stages'!$I$10:$I$153&lt;&gt;"")*('Group Stages'!$K$10:$K$153&lt;&gt;"")*('Group Stages'!$G$10:$G$153='Dummy Table'!$B22)*('Group Stages'!$I$10:$I$153&gt;'Group Stages'!$K$10:$K$153))</f>
        <v>2</v>
      </c>
      <c r="D22" s="210">
        <f>SUMPRODUCT(('Group Stages'!$I$10:$I$153&lt;&gt;"")*('Group Stages'!$K$10:$K$153&lt;&gt;"")*('Group Stages'!$G$10:$G$153='Dummy Table'!$B22)*('Group Stages'!$I$10:$I$153='Group Stages'!$K$10:$K$153))</f>
        <v>0</v>
      </c>
      <c r="E22" s="210">
        <f>SUMPRODUCT(('Group Stages'!$I$10:$I$153&lt;&gt;"")*('Group Stages'!$K$10:$K$153&lt;&gt;"")*('Group Stages'!$G$10:$G$153='Dummy Table'!$B22)*('Group Stages'!$I$10:$I$153&lt;'Group Stages'!$K$10:$K$153))</f>
        <v>0</v>
      </c>
      <c r="F22" s="210">
        <f>SUMIF('Group Stages'!$G$10:$G$153,'Dummy Table'!$B22,'Group Stages'!$I$10:$I$153)</f>
        <v>0</v>
      </c>
      <c r="G22" s="210">
        <f>SUMIF('Group Stages'!$G$10:$G$153,'Dummy Table'!$B22,'Group Stages'!$K$10:$K$153)</f>
        <v>0</v>
      </c>
      <c r="H22" s="210">
        <f t="shared" si="13"/>
        <v>0</v>
      </c>
      <c r="I22" s="210">
        <f t="shared" si="14"/>
        <v>6</v>
      </c>
      <c r="J22" s="209">
        <f>SUMPRODUCT(('Group Stages'!$I$10:$I$153&lt;&gt;"")*('Group Stages'!$K$10:$K$153&lt;&gt;"")*('Group Stages'!$M$10:$M$153='Dummy Table'!$B22)*('Group Stages'!$I$10:$I$153&lt;'Group Stages'!$K$10:$K$153))</f>
        <v>1</v>
      </c>
      <c r="K22" s="209">
        <f>SUMPRODUCT(('Group Stages'!$I$10:$I$153&lt;&gt;"")*('Group Stages'!$K$10:$K$153&lt;&gt;"")*('Group Stages'!$M$10:$M$153='Dummy Table'!$B22)*('Group Stages'!$I$10:$I$153='Group Stages'!$K$10:$K$153))</f>
        <v>1</v>
      </c>
      <c r="L22" s="209">
        <f>SUMPRODUCT(('Group Stages'!$I$10:$I$153&lt;&gt;"")*('Group Stages'!$K$10:$K$153&lt;&gt;"")*('Group Stages'!$M$10:$M$153='Dummy Table'!$B22)*('Group Stages'!$I$10:$I$153&gt;'Group Stages'!$K$10:$K$153))</f>
        <v>0</v>
      </c>
      <c r="M22" s="209">
        <f>SUMIF('Group Stages'!$M$10:$M$153,'Dummy Table'!$B22,'Group Stages'!$K$10:$K$153)</f>
        <v>0</v>
      </c>
      <c r="N22" s="209">
        <f>SUMIF('Group Stages'!$M$10:$M$153,'Dummy Table'!$B22,'Group Stages'!$I$10:$I$153)</f>
        <v>0</v>
      </c>
      <c r="O22" s="209">
        <f t="shared" si="15"/>
        <v>0</v>
      </c>
      <c r="P22" s="209">
        <f t="shared" si="16"/>
        <v>4</v>
      </c>
      <c r="Q22" s="209">
        <f t="shared" si="17"/>
        <v>3</v>
      </c>
      <c r="R22" s="209">
        <f t="shared" si="18"/>
        <v>1</v>
      </c>
      <c r="S22" s="209">
        <f t="shared" si="19"/>
        <v>0</v>
      </c>
      <c r="T22" s="209">
        <f t="shared" si="20"/>
        <v>0</v>
      </c>
      <c r="U22" s="209">
        <f t="shared" si="21"/>
        <v>0</v>
      </c>
      <c r="V22" s="209">
        <f t="shared" si="22"/>
        <v>0</v>
      </c>
      <c r="W22" s="209">
        <f t="shared" si="23"/>
        <v>10</v>
      </c>
      <c r="X22" s="210">
        <f>IF('Team Setup'!F23&lt;&gt;"",'Team Setup'!F23,DI22)</f>
        <v>31000</v>
      </c>
      <c r="Y22" s="210">
        <f>RANK(W22,W$20:W$23)</f>
        <v>1</v>
      </c>
      <c r="Z22" s="210">
        <f>SUMPRODUCT((W$20:W$23=W22)*(V$20:V$23&gt;V22))</f>
        <v>0</v>
      </c>
      <c r="AA22" s="210">
        <f>SUMPRODUCT((Y$20:Y$23=Y22)*(Z$20:Z$23=Z22)*(T$20:T$23&gt;T22))</f>
        <v>0</v>
      </c>
      <c r="AB22" s="210">
        <f>SUMPRODUCT((Y$20:Y$23=Y22)*(Z$20:Z$23=Z22)*(T$20:T$23=T22)*(X$20:X$23&gt;X22))</f>
        <v>0</v>
      </c>
      <c r="AC22" s="209">
        <v>3</v>
      </c>
      <c r="AD22" s="209" t="str">
        <f>VLOOKUP(AC22,$A$20:$B$23,2,FALSE)</f>
        <v>Lazio</v>
      </c>
      <c r="AE22" s="209">
        <f>VLOOKUP($AD22,$B$20:$W$23,22,FALSE)</f>
        <v>3</v>
      </c>
      <c r="AF22" s="209" t="str">
        <f t="shared" ref="AF22" si="89">IF(AE22=AE21,AD22,"")</f>
        <v/>
      </c>
      <c r="AG22" s="210">
        <f>SUMPRODUCT(($BK$4:$BK$147='Dummy Table'!$AF22)*($BL$4:$BL$147&gt;$BM$4:$BM$147))</f>
        <v>0</v>
      </c>
      <c r="AH22" s="210">
        <f>SUMPRODUCT(($BK$4:$BK$147='Dummy Table'!$AF22)*($BL$4:$BL$147=$BM$4:$BM$147))</f>
        <v>134</v>
      </c>
      <c r="AI22" s="210">
        <f>SUMPRODUCT(($BK$4:$BK$147='Dummy Table'!$AF22)*($BL$4:$BL$147&lt;$BM$4:$BM$147))</f>
        <v>0</v>
      </c>
      <c r="AJ22" s="210">
        <f>SUMIF($BK$4:$BK$147,'Dummy Table'!$AF22,$BL$4:$BL$147)</f>
        <v>0</v>
      </c>
      <c r="AK22" s="210">
        <f>SUMIF($BK$4:$BK$147,'Dummy Table'!$AF22,$BM$4:$BM$147)</f>
        <v>0</v>
      </c>
      <c r="AL22" s="210">
        <f t="shared" si="24"/>
        <v>0</v>
      </c>
      <c r="AM22" s="210" t="str">
        <f t="shared" si="25"/>
        <v/>
      </c>
      <c r="AN22" s="210">
        <f>SUMPRODUCT(($BN$4:$BN$147='Dummy Table'!$AF22)*($BL$4:$BL$147&lt;$BM$4:$BM$147))</f>
        <v>0</v>
      </c>
      <c r="AO22" s="210">
        <f>SUMPRODUCT(($BN$4:$BN$147='Dummy Table'!$AF22)*($BL$4:$BL$147=$BM$4:$BM$147))</f>
        <v>134</v>
      </c>
      <c r="AP22" s="210">
        <f>SUMPRODUCT(($BN$4:$BN$147='Dummy Table'!$AF22)*($BL$4:$BL$147&gt;$BM$4:$BM$147))</f>
        <v>0</v>
      </c>
      <c r="AQ22" s="210">
        <f>SUMIF($BN$4:$BN$147,'Dummy Table'!$AF22,$BM$4:$BM$147)</f>
        <v>0</v>
      </c>
      <c r="AR22" s="210">
        <f>SUMIF($BN$4:$BN$147,'Dummy Table'!$AF22,$BL$4:$BL$147)</f>
        <v>0</v>
      </c>
      <c r="AS22" s="210">
        <f t="shared" si="26"/>
        <v>0</v>
      </c>
      <c r="AT22" s="210" t="str">
        <f t="shared" si="27"/>
        <v/>
      </c>
      <c r="AU22" s="210">
        <f t="shared" si="28"/>
        <v>0</v>
      </c>
      <c r="AV22" s="210">
        <f t="shared" si="29"/>
        <v>268</v>
      </c>
      <c r="AW22" s="210">
        <f t="shared" si="30"/>
        <v>0</v>
      </c>
      <c r="AX22" s="210">
        <f t="shared" si="31"/>
        <v>0</v>
      </c>
      <c r="AY22" s="210">
        <f t="shared" si="32"/>
        <v>0</v>
      </c>
      <c r="AZ22" s="210">
        <f t="shared" si="33"/>
        <v>0</v>
      </c>
      <c r="BA22" s="210">
        <f t="shared" si="44"/>
        <v>-1</v>
      </c>
      <c r="BB22" s="209" t="str">
        <f t="shared" si="2"/>
        <v/>
      </c>
      <c r="BC22" s="209" t="str">
        <f t="shared" si="3"/>
        <v/>
      </c>
      <c r="BD22" s="209" t="str">
        <f t="shared" si="4"/>
        <v/>
      </c>
      <c r="BE22" s="209">
        <f>RANK(BA22,BA$20:BA$23)</f>
        <v>1</v>
      </c>
      <c r="BF22" s="209">
        <f>SUMPRODUCT((BA$20:BA$23=BA22)*(AZ$20:AZ$23&gt;AZ22))</f>
        <v>0</v>
      </c>
      <c r="BG22" s="209">
        <f>SUMPRODUCT((BA$20:BA$23=BA22)*(BE$20:BE$23=BE22)*(AZ$20:AZ$23=AZ22)*(AQ$20:AQ$23&gt;AQ22))</f>
        <v>0</v>
      </c>
      <c r="BH22" s="209">
        <f>SUMPRODUCT((BA$20:BA$23=BA22)*(BE$20:BE$23=BE22)*(AZ$20:AZ$23=AZ22)*(AQ$20:AQ$23=AQ22)*(BB$20:BB$23&gt;BB22))</f>
        <v>0</v>
      </c>
      <c r="BI22" s="209">
        <f>SUMPRODUCT((BA$20:BA$23=BA22)*(BE$20:BE$23=BE22)*(AZ$20:AZ$23=AZ22)*(AQ$20:AQ$23=AQ22)*(BB$20:BB$23=BB22)*(BC$20:BC$23&gt;BC22))</f>
        <v>0</v>
      </c>
      <c r="BJ22" s="209">
        <f>SUMPRODUCT((BA$20:BA$23=BA22)*(BE$20:BE$23=BE22)*(AZ$20:AZ$23=AZ22)*(AQ$20:AQ$23=AQ22)*(BB$20:BB$23=BB22)*(BC$20:BC$23=BC22)*(BD$20:BD$23&gt;BD22))</f>
        <v>0</v>
      </c>
      <c r="BK22" s="209" t="str">
        <f>IF(AND(COUNTIF($AF$4:$AF$35,'Group Stages'!G28)&gt;0,COUNTIF($AF$4:$AF$35,'Group Stages'!M28)&gt;0,'Group Stages'!I28&lt;&gt;"",'Group Stages'!K28&lt;&gt;""),'Group Stages'!G28,"")</f>
        <v/>
      </c>
      <c r="BL22" s="209" t="str">
        <f>IF($BK22&lt;&gt;"",'Group Stages'!I28,"")</f>
        <v/>
      </c>
      <c r="BM22" s="209" t="str">
        <f>IF($BK22&lt;&gt;"",'Group Stages'!K28,"")</f>
        <v/>
      </c>
      <c r="BN22" s="209" t="str">
        <f>IF($BK22&lt;&gt;"",'Group Stages'!M28,"")</f>
        <v/>
      </c>
      <c r="BO22" s="209" t="str">
        <f t="shared" si="5"/>
        <v/>
      </c>
      <c r="BP22" s="209" t="str">
        <f t="shared" si="34"/>
        <v/>
      </c>
      <c r="BQ22" s="209">
        <f>VLOOKUP($AD22,$B$20:$W$23,22,FALSE)</f>
        <v>3</v>
      </c>
      <c r="BR22" s="209" t="str">
        <f t="shared" ref="BR22" si="90">IF(AND(BQ22&lt;&gt;BQ21,BQ22=BQ23),AD22,"")</f>
        <v/>
      </c>
      <c r="BS22" s="217">
        <f>SUMPRODUCT(($CW$4:$CW$147='Dummy Table'!$BR22)*($CX$4:$CX$147&gt;$CY$4:$CY$147))</f>
        <v>0</v>
      </c>
      <c r="BT22" s="217">
        <f>SUMPRODUCT(($CW$4:$CW$147='Dummy Table'!$BR22)*($CX$4:$CX$147=$CY$4:$CY$147))</f>
        <v>142</v>
      </c>
      <c r="BU22" s="217">
        <f>SUMPRODUCT(($CW$4:$CW$147='Dummy Table'!$BR22)*($CX$4:$CX$147&lt;$CY$4:$CY$147))</f>
        <v>0</v>
      </c>
      <c r="BV22" s="217">
        <f>SUMIF($CW$4:$CW$147,'Dummy Table'!$BR22,$CX$4:$CX$147)</f>
        <v>0</v>
      </c>
      <c r="BW22" s="217">
        <f>SUMIF($CW$4:$CW$147,'Dummy Table'!$BR22,$CY$4:$CY$147)</f>
        <v>0</v>
      </c>
      <c r="BX22" s="217">
        <f t="shared" si="35"/>
        <v>0</v>
      </c>
      <c r="BY22" s="217" t="str">
        <f t="shared" si="36"/>
        <v/>
      </c>
      <c r="BZ22" s="217">
        <f>SUMPRODUCT(($CZ$4:$CZ$147='Dummy Table'!$BR22)*($CX$4:$CX$147&lt;$CY$4:$CY$147))</f>
        <v>0</v>
      </c>
      <c r="CA22" s="217">
        <f>SUMPRODUCT(($CZ$4:$CZ$147='Dummy Table'!$BR22)*($CX$4:$CX$147=$CY$4:$CY$147))</f>
        <v>142</v>
      </c>
      <c r="CB22" s="217">
        <f>SUMPRODUCT(($CZ$4:$CZ$147='Dummy Table'!$BR22)*($CX$4:$CX$147&gt;$CY$4:$CY$147))</f>
        <v>0</v>
      </c>
      <c r="CC22" s="217">
        <f>SUMIF($CZ$4:$CZ$147,'Dummy Table'!$BR22,$CY$4:$CY$147)</f>
        <v>0</v>
      </c>
      <c r="CD22" s="217">
        <f>SUMIF($CZ$4:$CZ$147,'Dummy Table'!$BR22,$CX$4:$CX$147)</f>
        <v>0</v>
      </c>
      <c r="CE22" s="217">
        <f t="shared" si="37"/>
        <v>0</v>
      </c>
      <c r="CF22" s="217" t="str">
        <f t="shared" si="38"/>
        <v/>
      </c>
      <c r="CG22" s="217">
        <f t="shared" si="39"/>
        <v>0</v>
      </c>
      <c r="CH22" s="217">
        <f t="shared" si="6"/>
        <v>284</v>
      </c>
      <c r="CI22" s="217">
        <f t="shared" si="7"/>
        <v>0</v>
      </c>
      <c r="CJ22" s="217">
        <f t="shared" si="8"/>
        <v>0</v>
      </c>
      <c r="CK22" s="217">
        <f t="shared" si="9"/>
        <v>0</v>
      </c>
      <c r="CL22" s="217">
        <f t="shared" si="10"/>
        <v>0</v>
      </c>
      <c r="CM22" s="217">
        <f t="shared" si="45"/>
        <v>-1</v>
      </c>
      <c r="CN22" s="210">
        <f t="shared" si="40"/>
        <v>31000</v>
      </c>
      <c r="CO22" s="210">
        <f>SUMIF($CZ$4:$CZ$147,'Dummy Table'!$BR22,$CY$4:$CY$147)*2</f>
        <v>0</v>
      </c>
      <c r="CP22" s="210">
        <f>RANK(CM22,CM$20:CM$23)</f>
        <v>1</v>
      </c>
      <c r="CR22" s="210">
        <f>SUMPRODUCT((CM$20:CM$23=CM22)*(CL$20:CL$23&gt;CL22))</f>
        <v>0</v>
      </c>
      <c r="CS22" s="210">
        <f>SUMPRODUCT((CP$20:CP$23=CP22)*(CR$20:CR$23=CR22)*(CO$20:CO$23&gt;CO22))</f>
        <v>0</v>
      </c>
      <c r="CT22" s="210">
        <f>IF(BR22&lt;&gt;"",SUMPRODUCT((CP$20:CP$23=CP22)*(CR$20:CR$23=CR22)*(CS$20:CS$23=CS22)*(V$20:V$23&gt;V22)),0)</f>
        <v>0</v>
      </c>
      <c r="CU22" s="210">
        <f>IF($BR22&lt;&gt;"",SUMPRODUCT((CP$20:CP$23=CP22)*(CR$20:CR$23=CR22)*(CS$20:CS$23=CS22)*(CT$20:CT$23=CT22)*(T$20:T$23&gt;T22)),0)</f>
        <v>0</v>
      </c>
      <c r="CV22" s="210">
        <f>SUMPRODUCT((CP$20:CP$23=CP22)*(CR$20:CR$23=CR22)*(CS$20:CS$23=CS22)*(CT$20:CT$23=CT22)*(CU$20:CU$23=CU22)*(CN$20:CN$23&gt;CN22))</f>
        <v>1</v>
      </c>
      <c r="CW22" s="209" t="str">
        <f>IF(AND(COUNTIF($BR$4:$BR$35,'Group Stages'!$G28)&gt;0,COUNTIF($BR$4:$BR$35,'Group Stages'!$M28)&gt;0),'Group Stages'!$G28,"")</f>
        <v/>
      </c>
      <c r="CX22" s="209" t="str">
        <f>IF($CW22&lt;&gt;"",'Group Stages'!$I28,"")</f>
        <v/>
      </c>
      <c r="CY22" s="209" t="str">
        <f>IF($CW22&lt;&gt;"",'Group Stages'!$K28,"")</f>
        <v/>
      </c>
      <c r="CZ22" s="209" t="str">
        <f>IF($CW22&lt;&gt;"",'Group Stages'!$M28,"")</f>
        <v/>
      </c>
      <c r="DA22" s="210" t="str">
        <f t="shared" si="11"/>
        <v/>
      </c>
      <c r="DB22" s="209" t="str">
        <f t="shared" si="43"/>
        <v/>
      </c>
      <c r="DC22" s="209">
        <v>3</v>
      </c>
      <c r="DD22" s="209" t="str">
        <f t="shared" si="47"/>
        <v>Lazio</v>
      </c>
      <c r="DE22" s="209" t="str">
        <f t="shared" ref="DE22" si="91">IF(AND(DD22="",DD21="",DD20=""),DC22,IF(AND(DD20&lt;&gt;"",DD21="",DD22=""),2,IF(AND(DD20&lt;&gt;"",DD21&lt;&gt;"",DD22=""),1,"")))</f>
        <v/>
      </c>
      <c r="DF22" s="209" t="str">
        <f>VLOOKUP(DE22,$BO$20:$BP$23,2,FALSE)</f>
        <v/>
      </c>
      <c r="DG22" s="209">
        <v>3</v>
      </c>
      <c r="DH22" s="209" t="str">
        <f t="shared" ref="DH22" si="92">IF(DB22&lt;&gt;"",IF(DA22&lt;DA23,DB22,DB23),IF(DF22&lt;&gt;"",DF22,DD22))</f>
        <v>Lazio</v>
      </c>
      <c r="DI22" s="209">
        <v>19</v>
      </c>
    </row>
    <row r="23" spans="1:113">
      <c r="A23" s="209">
        <f t="shared" si="12"/>
        <v>3</v>
      </c>
      <c r="B23" s="209" t="str">
        <f>'Team Setup'!B24</f>
        <v>Lazio</v>
      </c>
      <c r="C23" s="210">
        <f>SUMPRODUCT(('Group Stages'!$I$10:$I$153&lt;&gt;"")*('Group Stages'!$K$10:$K$153&lt;&gt;"")*('Group Stages'!$G$10:$G$153='Dummy Table'!$B23)*('Group Stages'!$I$10:$I$153&gt;'Group Stages'!$K$10:$K$153))</f>
        <v>1</v>
      </c>
      <c r="D23" s="210">
        <f>SUMPRODUCT(('Group Stages'!$I$10:$I$153&lt;&gt;"")*('Group Stages'!$K$10:$K$153&lt;&gt;"")*('Group Stages'!$G$10:$G$153='Dummy Table'!$B23)*('Group Stages'!$I$10:$I$153='Group Stages'!$K$10:$K$153))</f>
        <v>0</v>
      </c>
      <c r="E23" s="210">
        <f>SUMPRODUCT(('Group Stages'!$I$10:$I$153&lt;&gt;"")*('Group Stages'!$K$10:$K$153&lt;&gt;"")*('Group Stages'!$G$10:$G$153='Dummy Table'!$B23)*('Group Stages'!$I$10:$I$153&lt;'Group Stages'!$K$10:$K$153))</f>
        <v>1</v>
      </c>
      <c r="F23" s="210">
        <f>SUMIF('Group Stages'!$G$10:$G$153,'Dummy Table'!$B23,'Group Stages'!$I$10:$I$153)</f>
        <v>0</v>
      </c>
      <c r="G23" s="210">
        <f>SUMIF('Group Stages'!$G$10:$G$153,'Dummy Table'!$B23,'Group Stages'!$K$10:$K$153)</f>
        <v>0</v>
      </c>
      <c r="H23" s="210">
        <f t="shared" si="13"/>
        <v>0</v>
      </c>
      <c r="I23" s="210">
        <f t="shared" si="14"/>
        <v>3</v>
      </c>
      <c r="J23" s="209">
        <f>SUMPRODUCT(('Group Stages'!$I$10:$I$153&lt;&gt;"")*('Group Stages'!$K$10:$K$153&lt;&gt;"")*('Group Stages'!$M$10:$M$153='Dummy Table'!$B23)*('Group Stages'!$I$10:$I$153&lt;'Group Stages'!$K$10:$K$153))</f>
        <v>0</v>
      </c>
      <c r="K23" s="209">
        <f>SUMPRODUCT(('Group Stages'!$I$10:$I$153&lt;&gt;"")*('Group Stages'!$K$10:$K$153&lt;&gt;"")*('Group Stages'!$M$10:$M$153='Dummy Table'!$B23)*('Group Stages'!$I$10:$I$153='Group Stages'!$K$10:$K$153))</f>
        <v>0</v>
      </c>
      <c r="L23" s="209">
        <f>SUMPRODUCT(('Group Stages'!$I$10:$I$153&lt;&gt;"")*('Group Stages'!$K$10:$K$153&lt;&gt;"")*('Group Stages'!$M$10:$M$153='Dummy Table'!$B23)*('Group Stages'!$I$10:$I$153&gt;'Group Stages'!$K$10:$K$153))</f>
        <v>2</v>
      </c>
      <c r="M23" s="209">
        <f>SUMIF('Group Stages'!$M$10:$M$153,'Dummy Table'!$B23,'Group Stages'!$K$10:$K$153)</f>
        <v>0</v>
      </c>
      <c r="N23" s="209">
        <f>SUMIF('Group Stages'!$M$10:$M$153,'Dummy Table'!$B23,'Group Stages'!$I$10:$I$153)</f>
        <v>0</v>
      </c>
      <c r="O23" s="209">
        <f t="shared" si="15"/>
        <v>0</v>
      </c>
      <c r="P23" s="209">
        <f t="shared" si="16"/>
        <v>0</v>
      </c>
      <c r="Q23" s="209">
        <f t="shared" si="17"/>
        <v>1</v>
      </c>
      <c r="R23" s="209">
        <f t="shared" si="18"/>
        <v>0</v>
      </c>
      <c r="S23" s="209">
        <f t="shared" si="19"/>
        <v>3</v>
      </c>
      <c r="T23" s="209">
        <f t="shared" si="20"/>
        <v>0</v>
      </c>
      <c r="U23" s="209">
        <f t="shared" si="21"/>
        <v>0</v>
      </c>
      <c r="V23" s="209">
        <f t="shared" si="22"/>
        <v>0</v>
      </c>
      <c r="W23" s="209">
        <f t="shared" si="23"/>
        <v>3</v>
      </c>
      <c r="X23" s="210">
        <f>IF('Team Setup'!F24&lt;&gt;"",'Team Setup'!F24,DI23)</f>
        <v>39000</v>
      </c>
      <c r="Y23" s="210">
        <f>RANK(W23,W$20:W$23)</f>
        <v>3</v>
      </c>
      <c r="Z23" s="210">
        <f>SUMPRODUCT((W$20:W$23=W23)*(V$20:V$23&gt;V23))</f>
        <v>0</v>
      </c>
      <c r="AA23" s="210">
        <f>SUMPRODUCT((Y$20:Y$23=Y23)*(Z$20:Z$23=Z23)*(T$20:T$23&gt;T23))</f>
        <v>0</v>
      </c>
      <c r="AB23" s="210">
        <f>SUMPRODUCT((Y$20:Y$23=Y23)*(Z$20:Z$23=Z23)*(T$20:T$23=T23)*(X$20:X$23&gt;X23))</f>
        <v>0</v>
      </c>
      <c r="AC23" s="209">
        <v>4</v>
      </c>
      <c r="AD23" s="209" t="str">
        <f>VLOOKUP(AC23,$A$20:$B$23,2,FALSE)</f>
        <v>Stade Rennes</v>
      </c>
      <c r="AE23" s="209">
        <f>VLOOKUP($AD23,$B$20:$W$23,22,FALSE)</f>
        <v>1</v>
      </c>
      <c r="AF23" s="209" t="str">
        <f t="shared" ref="AF23" si="93">IF(AND(AE23=AE22,AE22=AE21),AD23,"")</f>
        <v/>
      </c>
      <c r="AG23" s="210">
        <f>SUMPRODUCT(($BK$4:$BK$147='Dummy Table'!$AF23)*($BL$4:$BL$147&gt;$BM$4:$BM$147))</f>
        <v>0</v>
      </c>
      <c r="AH23" s="210">
        <f>SUMPRODUCT(($BK$4:$BK$147='Dummy Table'!$AF23)*($BL$4:$BL$147=$BM$4:$BM$147))</f>
        <v>134</v>
      </c>
      <c r="AI23" s="210">
        <f>SUMPRODUCT(($BK$4:$BK$147='Dummy Table'!$AF23)*($BL$4:$BL$147&lt;$BM$4:$BM$147))</f>
        <v>0</v>
      </c>
      <c r="AJ23" s="210">
        <f>SUMIF($BK$4:$BK$147,'Dummy Table'!$AF23,$BL$4:$BL$147)</f>
        <v>0</v>
      </c>
      <c r="AK23" s="210">
        <f>SUMIF($BK$4:$BK$147,'Dummy Table'!$AF23,$BM$4:$BM$147)</f>
        <v>0</v>
      </c>
      <c r="AL23" s="210">
        <f t="shared" si="24"/>
        <v>0</v>
      </c>
      <c r="AM23" s="210" t="str">
        <f t="shared" si="25"/>
        <v/>
      </c>
      <c r="AN23" s="210">
        <f>SUMPRODUCT(($BN$4:$BN$147='Dummy Table'!$AF23)*($BL$4:$BL$147&lt;$BM$4:$BM$147))</f>
        <v>0</v>
      </c>
      <c r="AO23" s="210">
        <f>SUMPRODUCT(($BN$4:$BN$147='Dummy Table'!$AF23)*($BL$4:$BL$147=$BM$4:$BM$147))</f>
        <v>134</v>
      </c>
      <c r="AP23" s="210">
        <f>SUMPRODUCT(($BN$4:$BN$147='Dummy Table'!$AF23)*($BL$4:$BL$147&gt;$BM$4:$BM$147))</f>
        <v>0</v>
      </c>
      <c r="AQ23" s="210">
        <f>SUMIF($BN$4:$BN$147,'Dummy Table'!$AF23,$BM$4:$BM$147)</f>
        <v>0</v>
      </c>
      <c r="AR23" s="210">
        <f>SUMIF($BN$4:$BN$147,'Dummy Table'!$AF23,$BL$4:$BL$147)</f>
        <v>0</v>
      </c>
      <c r="AS23" s="210">
        <f t="shared" si="26"/>
        <v>0</v>
      </c>
      <c r="AT23" s="210" t="str">
        <f t="shared" si="27"/>
        <v/>
      </c>
      <c r="AU23" s="210">
        <f t="shared" si="28"/>
        <v>0</v>
      </c>
      <c r="AV23" s="210">
        <f t="shared" si="29"/>
        <v>268</v>
      </c>
      <c r="AW23" s="210">
        <f t="shared" si="30"/>
        <v>0</v>
      </c>
      <c r="AX23" s="210">
        <f t="shared" si="31"/>
        <v>0</v>
      </c>
      <c r="AY23" s="210">
        <f t="shared" si="32"/>
        <v>0</v>
      </c>
      <c r="AZ23" s="210">
        <f t="shared" si="33"/>
        <v>0</v>
      </c>
      <c r="BA23" s="210">
        <f t="shared" si="44"/>
        <v>-1</v>
      </c>
      <c r="BB23" s="209" t="str">
        <f t="shared" si="2"/>
        <v/>
      </c>
      <c r="BC23" s="209" t="str">
        <f t="shared" si="3"/>
        <v/>
      </c>
      <c r="BD23" s="209" t="str">
        <f t="shared" si="4"/>
        <v/>
      </c>
      <c r="BE23" s="209">
        <f>RANK(BA23,BA$20:BA$23)</f>
        <v>1</v>
      </c>
      <c r="BF23" s="209">
        <f>SUMPRODUCT((BA$20:BA$23=BA23)*(AZ$20:AZ$23&gt;AZ23))</f>
        <v>0</v>
      </c>
      <c r="BG23" s="209">
        <f>SUMPRODUCT((BA$20:BA$23=BA23)*(BE$20:BE$23=BE23)*(AZ$20:AZ$23=AZ23)*(AQ$20:AQ$23&gt;AQ23))</f>
        <v>0</v>
      </c>
      <c r="BH23" s="209">
        <f>SUMPRODUCT((BA$20:BA$23=BA23)*(BE$20:BE$23=BE23)*(AZ$20:AZ$23=AZ23)*(AQ$20:AQ$23=AQ23)*(BB$20:BB$23&gt;BB23))</f>
        <v>0</v>
      </c>
      <c r="BI23" s="209">
        <f>SUMPRODUCT((BA$20:BA$23=BA23)*(BE$20:BE$23=BE23)*(AZ$20:AZ$23=AZ23)*(AQ$20:AQ$23=AQ23)*(BB$20:BB$23=BB23)*(BC$20:BC$23&gt;BC23))</f>
        <v>0</v>
      </c>
      <c r="BJ23" s="209">
        <f>SUMPRODUCT((BA$20:BA$23=BA23)*(BE$20:BE$23=BE23)*(AZ$20:AZ$23=AZ23)*(AQ$20:AQ$23=AQ23)*(BB$20:BB$23=BB23)*(BC$20:BC$23=BC23)*(BD$20:BD$23&gt;BD23))</f>
        <v>0</v>
      </c>
      <c r="BK23" s="209" t="str">
        <f>IF(AND(COUNTIF($AF$4:$AF$35,'Group Stages'!G29)&gt;0,COUNTIF($AF$4:$AF$35,'Group Stages'!M29)&gt;0,'Group Stages'!I29&lt;&gt;"",'Group Stages'!K29&lt;&gt;""),'Group Stages'!G29,"")</f>
        <v/>
      </c>
      <c r="BL23" s="209" t="str">
        <f>IF($BK23&lt;&gt;"",'Group Stages'!I29,"")</f>
        <v/>
      </c>
      <c r="BM23" s="209" t="str">
        <f>IF($BK23&lt;&gt;"",'Group Stages'!K29,"")</f>
        <v/>
      </c>
      <c r="BN23" s="209" t="str">
        <f>IF($BK23&lt;&gt;"",'Group Stages'!M29,"")</f>
        <v/>
      </c>
      <c r="BO23" s="209" t="str">
        <f t="shared" si="5"/>
        <v/>
      </c>
      <c r="BP23" s="209" t="str">
        <f t="shared" si="34"/>
        <v/>
      </c>
      <c r="BQ23" s="209">
        <f>VLOOKUP($AD23,$B$20:$W$23,22,FALSE)</f>
        <v>1</v>
      </c>
      <c r="BR23" s="209" t="str">
        <f t="shared" ref="BR23" si="94">IF(BR22&lt;&gt;"",AD23,"")</f>
        <v/>
      </c>
      <c r="BS23" s="217">
        <f>SUMPRODUCT(($CW$4:$CW$147='Dummy Table'!$BR23)*($CX$4:$CX$147&gt;$CY$4:$CY$147))</f>
        <v>0</v>
      </c>
      <c r="BT23" s="217">
        <f>SUMPRODUCT(($CW$4:$CW$147='Dummy Table'!$BR23)*($CX$4:$CX$147=$CY$4:$CY$147))</f>
        <v>142</v>
      </c>
      <c r="BU23" s="217">
        <f>SUMPRODUCT(($CW$4:$CW$147='Dummy Table'!$BR23)*($CX$4:$CX$147&lt;$CY$4:$CY$147))</f>
        <v>0</v>
      </c>
      <c r="BV23" s="217">
        <f>SUMIF($CW$4:$CW$147,'Dummy Table'!$BR23,$CX$4:$CX$147)</f>
        <v>0</v>
      </c>
      <c r="BW23" s="217">
        <f>SUMIF($CW$4:$CW$147,'Dummy Table'!$BR23,$CY$4:$CY$147)</f>
        <v>0</v>
      </c>
      <c r="BX23" s="217">
        <f t="shared" si="35"/>
        <v>0</v>
      </c>
      <c r="BY23" s="217" t="str">
        <f t="shared" si="36"/>
        <v/>
      </c>
      <c r="BZ23" s="217">
        <f>SUMPRODUCT(($CZ$4:$CZ$147='Dummy Table'!$BR23)*($CX$4:$CX$147&lt;$CY$4:$CY$147))</f>
        <v>0</v>
      </c>
      <c r="CA23" s="217">
        <f>SUMPRODUCT(($CZ$4:$CZ$147='Dummy Table'!$BR23)*($CX$4:$CX$147=$CY$4:$CY$147))</f>
        <v>142</v>
      </c>
      <c r="CB23" s="217">
        <f>SUMPRODUCT(($CZ$4:$CZ$147='Dummy Table'!$BR23)*($CX$4:$CX$147&gt;$CY$4:$CY$147))</f>
        <v>0</v>
      </c>
      <c r="CC23" s="217">
        <f>SUMIF($CZ$4:$CZ$147,'Dummy Table'!$BR23,$CY$4:$CY$147)</f>
        <v>0</v>
      </c>
      <c r="CD23" s="217">
        <f>SUMIF($CZ$4:$CZ$147,'Dummy Table'!$BR23,$CX$4:$CX$147)</f>
        <v>0</v>
      </c>
      <c r="CE23" s="217">
        <f t="shared" si="37"/>
        <v>0</v>
      </c>
      <c r="CF23" s="217" t="str">
        <f t="shared" si="38"/>
        <v/>
      </c>
      <c r="CG23" s="217">
        <f t="shared" si="39"/>
        <v>0</v>
      </c>
      <c r="CH23" s="217">
        <f t="shared" si="6"/>
        <v>284</v>
      </c>
      <c r="CI23" s="217">
        <f t="shared" si="7"/>
        <v>0</v>
      </c>
      <c r="CJ23" s="217">
        <f t="shared" si="8"/>
        <v>0</v>
      </c>
      <c r="CK23" s="217">
        <f t="shared" si="9"/>
        <v>0</v>
      </c>
      <c r="CL23" s="217">
        <f t="shared" si="10"/>
        <v>0</v>
      </c>
      <c r="CM23" s="217">
        <f t="shared" si="45"/>
        <v>-1</v>
      </c>
      <c r="CN23" s="210">
        <f t="shared" si="40"/>
        <v>39000</v>
      </c>
      <c r="CO23" s="210">
        <f>SUMIF($CZ$4:$CZ$147,'Dummy Table'!$BR23,$CY$4:$CY$147)*2</f>
        <v>0</v>
      </c>
      <c r="CP23" s="210">
        <f>RANK(CM23,CM$20:CM$23)</f>
        <v>1</v>
      </c>
      <c r="CR23" s="210">
        <f>SUMPRODUCT((CM$20:CM$23=CM23)*(CL$20:CL$23&gt;CL23))</f>
        <v>0</v>
      </c>
      <c r="CS23" s="210">
        <f>SUMPRODUCT((CP$20:CP$23=CP23)*(CR$20:CR$23=CR23)*(CO$20:CO$23&gt;CO23))</f>
        <v>0</v>
      </c>
      <c r="CT23" s="210">
        <f>IF(BR23&lt;&gt;"",SUMPRODUCT((CP$20:CP$23=CP23)*(CR$20:CR$23=CR23)*(CS$20:CS$23=CS23)*(V$20:V$23&gt;V23)),0)</f>
        <v>0</v>
      </c>
      <c r="CU23" s="210">
        <f>IF($BR23&lt;&gt;"",SUMPRODUCT((CP$20:CP$23=CP23)*(CR$20:CR$23=CR23)*(CS$20:CS$23=CS23)*(CT$20:CT$23=CT23)*(T$20:T$23&gt;T23)),0)</f>
        <v>0</v>
      </c>
      <c r="CV23" s="210">
        <f>SUMPRODUCT((CP$20:CP$23=CP23)*(CR$20:CR$23=CR23)*(CS$20:CS$23=CS23)*(CT$20:CT$23=CT23)*(CU$20:CU$23=CU23)*(CN$20:CN$23&gt;CN23))</f>
        <v>0</v>
      </c>
      <c r="CW23" s="209" t="str">
        <f>IF(AND(COUNTIF($BR$4:$BR$35,'Group Stages'!$G29)&gt;0,COUNTIF($BR$4:$BR$35,'Group Stages'!$M29)&gt;0),'Group Stages'!$G29,"")</f>
        <v/>
      </c>
      <c r="CX23" s="209" t="str">
        <f>IF($CW23&lt;&gt;"",'Group Stages'!$I29,"")</f>
        <v/>
      </c>
      <c r="CY23" s="209" t="str">
        <f>IF($CW23&lt;&gt;"",'Group Stages'!$K29,"")</f>
        <v/>
      </c>
      <c r="CZ23" s="209" t="str">
        <f>IF($CW23&lt;&gt;"",'Group Stages'!$M29,"")</f>
        <v/>
      </c>
      <c r="DA23" s="210" t="str">
        <f t="shared" si="11"/>
        <v/>
      </c>
      <c r="DB23" s="209" t="str">
        <f t="shared" si="43"/>
        <v/>
      </c>
      <c r="DC23" s="209">
        <v>4</v>
      </c>
      <c r="DD23" s="209" t="str">
        <f t="shared" si="47"/>
        <v>Stade Rennes</v>
      </c>
      <c r="DE23" s="209" t="str">
        <f t="shared" ref="DE23" si="95">IF(AND(DD23="",DD22="",DD21="",DD20=""),4,IF(AND(DD23="",DD22="",DD21=""),3,IF(AND(DD21&lt;&gt;"",DD22="",DD23=""),2,IF(AND(DD21&lt;&gt;"",DD22&lt;&gt;"",DD23=""),1,""))))</f>
        <v/>
      </c>
      <c r="DF23" s="209" t="str">
        <f>VLOOKUP(DE23,$BO$20:$BP$23,2,FALSE)</f>
        <v/>
      </c>
      <c r="DG23" s="209">
        <v>4</v>
      </c>
      <c r="DH23" s="209" t="str">
        <f t="shared" ref="DH23" si="96">IF(DB23&lt;&gt;"",IF(DA22&lt;DA23,DB23,DB22),IF(DF23&lt;&gt;"",DF23,DD23))</f>
        <v>Stade Rennes</v>
      </c>
      <c r="DI23" s="209">
        <v>20</v>
      </c>
    </row>
    <row r="24" spans="1:113">
      <c r="A24" s="209">
        <f t="shared" si="12"/>
        <v>2</v>
      </c>
      <c r="B24" s="209" t="str">
        <f>'Team Setup'!B25</f>
        <v>Eintracht Frankfurt</v>
      </c>
      <c r="C24" s="210">
        <f>SUMPRODUCT(('Group Stages'!$I$10:$I$153&lt;&gt;"")*('Group Stages'!$K$10:$K$153&lt;&gt;"")*('Group Stages'!$G$10:$G$153='Dummy Table'!$B24)*('Group Stages'!$I$10:$I$153&gt;'Group Stages'!$K$10:$K$153))</f>
        <v>1</v>
      </c>
      <c r="D24" s="210">
        <f>SUMPRODUCT(('Group Stages'!$I$10:$I$153&lt;&gt;"")*('Group Stages'!$K$10:$K$153&lt;&gt;"")*('Group Stages'!$G$10:$G$153='Dummy Table'!$B24)*('Group Stages'!$I$10:$I$153='Group Stages'!$K$10:$K$153))</f>
        <v>0</v>
      </c>
      <c r="E24" s="210">
        <f>SUMPRODUCT(('Group Stages'!$I$10:$I$153&lt;&gt;"")*('Group Stages'!$K$10:$K$153&lt;&gt;"")*('Group Stages'!$G$10:$G$153='Dummy Table'!$B24)*('Group Stages'!$I$10:$I$153&lt;'Group Stages'!$K$10:$K$153))</f>
        <v>1</v>
      </c>
      <c r="F24" s="210">
        <f>SUMIF('Group Stages'!$G$10:$G$153,'Dummy Table'!$B24,'Group Stages'!$I$10:$I$153)</f>
        <v>0</v>
      </c>
      <c r="G24" s="210">
        <f>SUMIF('Group Stages'!$G$10:$G$153,'Dummy Table'!$B24,'Group Stages'!$K$10:$K$153)</f>
        <v>0</v>
      </c>
      <c r="H24" s="210">
        <f t="shared" si="13"/>
        <v>0</v>
      </c>
      <c r="I24" s="210">
        <f t="shared" si="14"/>
        <v>3</v>
      </c>
      <c r="J24" s="209">
        <f>SUMPRODUCT(('Group Stages'!$I$10:$I$153&lt;&gt;"")*('Group Stages'!$K$10:$K$153&lt;&gt;"")*('Group Stages'!$M$10:$M$153='Dummy Table'!$B24)*('Group Stages'!$I$10:$I$153&lt;'Group Stages'!$K$10:$K$153))</f>
        <v>1</v>
      </c>
      <c r="K24" s="209">
        <f>SUMPRODUCT(('Group Stages'!$I$10:$I$153&lt;&gt;"")*('Group Stages'!$K$10:$K$153&lt;&gt;"")*('Group Stages'!$M$10:$M$153='Dummy Table'!$B24)*('Group Stages'!$I$10:$I$153='Group Stages'!$K$10:$K$153))</f>
        <v>0</v>
      </c>
      <c r="L24" s="209">
        <f>SUMPRODUCT(('Group Stages'!$I$10:$I$153&lt;&gt;"")*('Group Stages'!$K$10:$K$153&lt;&gt;"")*('Group Stages'!$M$10:$M$153='Dummy Table'!$B24)*('Group Stages'!$I$10:$I$153&gt;'Group Stages'!$K$10:$K$153))</f>
        <v>1</v>
      </c>
      <c r="M24" s="209">
        <f>SUMIF('Group Stages'!$M$10:$M$153,'Dummy Table'!$B24,'Group Stages'!$K$10:$K$153)</f>
        <v>0</v>
      </c>
      <c r="N24" s="209">
        <f>SUMIF('Group Stages'!$M$10:$M$153,'Dummy Table'!$B24,'Group Stages'!$I$10:$I$153)</f>
        <v>0</v>
      </c>
      <c r="O24" s="209">
        <f t="shared" si="15"/>
        <v>0</v>
      </c>
      <c r="P24" s="209">
        <f t="shared" si="16"/>
        <v>3</v>
      </c>
      <c r="Q24" s="209">
        <f t="shared" si="17"/>
        <v>2</v>
      </c>
      <c r="R24" s="209">
        <f t="shared" si="18"/>
        <v>0</v>
      </c>
      <c r="S24" s="209">
        <f t="shared" si="19"/>
        <v>2</v>
      </c>
      <c r="T24" s="209">
        <f t="shared" si="20"/>
        <v>0</v>
      </c>
      <c r="U24" s="209">
        <f t="shared" si="21"/>
        <v>0</v>
      </c>
      <c r="V24" s="209">
        <f t="shared" si="22"/>
        <v>0</v>
      </c>
      <c r="W24" s="209">
        <f t="shared" si="23"/>
        <v>6</v>
      </c>
      <c r="X24" s="210">
        <f>IF('Team Setup'!F25&lt;&gt;"",'Team Setup'!F25,DI24)</f>
        <v>28000</v>
      </c>
      <c r="Y24" s="210">
        <f>RANK(W24,W$24:W$27)</f>
        <v>2</v>
      </c>
      <c r="Z24" s="210">
        <f>SUMPRODUCT((W$24:W$27=W24)*(V$24:V$27&gt;V24))</f>
        <v>0</v>
      </c>
      <c r="AA24" s="210">
        <f>SUMPRODUCT((Y$24:Y$27=Y24)*(Z$24:Z$27=Z24)*(T$24:T$27&gt;T24))</f>
        <v>0</v>
      </c>
      <c r="AB24" s="210">
        <f>SUMPRODUCT((Y$24:Y$27=Y24)*(Z$24:Z$27=Z24)*(T$24:T$27=T24)*(X$24:X$27&gt;X24))</f>
        <v>0</v>
      </c>
      <c r="AC24" s="209">
        <v>1</v>
      </c>
      <c r="AD24" s="209" t="str">
        <f>VLOOKUP(AC24,$A$24:$B$27,2,FALSE)</f>
        <v>Arsenal FC</v>
      </c>
      <c r="AE24" s="209">
        <f>VLOOKUP($AD24,$B$24:$W$27,22,FALSE)</f>
        <v>10</v>
      </c>
      <c r="AF24" s="209" t="str">
        <f>IF("musadya"="musadya",IF(AE24=AE25,AD24,""),IF(AE24=AE25,AD24,""))</f>
        <v/>
      </c>
      <c r="AG24" s="210">
        <f>SUMPRODUCT(($BK$4:$BK$147='Dummy Table'!$AF24)*($BL$4:$BL$147&gt;$BM$4:$BM$147))</f>
        <v>0</v>
      </c>
      <c r="AH24" s="210">
        <f>SUMPRODUCT(($BK$4:$BK$147='Dummy Table'!$AF24)*($BL$4:$BL$147=$BM$4:$BM$147))</f>
        <v>134</v>
      </c>
      <c r="AI24" s="210">
        <f>SUMPRODUCT(($BK$4:$BK$147='Dummy Table'!$AF24)*($BL$4:$BL$147&lt;$BM$4:$BM$147))</f>
        <v>0</v>
      </c>
      <c r="AJ24" s="210">
        <f>SUMIF($BK$4:$BK$147,'Dummy Table'!$AF24,$BL$4:$BL$147)</f>
        <v>0</v>
      </c>
      <c r="AK24" s="210">
        <f>SUMIF($BK$4:$BK$147,'Dummy Table'!$AF24,$BM$4:$BM$147)</f>
        <v>0</v>
      </c>
      <c r="AL24" s="210">
        <f t="shared" si="24"/>
        <v>0</v>
      </c>
      <c r="AM24" s="210" t="str">
        <f t="shared" si="25"/>
        <v/>
      </c>
      <c r="AN24" s="210">
        <f>SUMPRODUCT(($BN$4:$BN$147='Dummy Table'!$AF24)*($BL$4:$BL$147&lt;$BM$4:$BM$147))</f>
        <v>0</v>
      </c>
      <c r="AO24" s="210">
        <f>SUMPRODUCT(($BN$4:$BN$147='Dummy Table'!$AF24)*($BL$4:$BL$147=$BM$4:$BM$147))</f>
        <v>134</v>
      </c>
      <c r="AP24" s="210">
        <f>SUMPRODUCT(($BN$4:$BN$147='Dummy Table'!$AF24)*($BL$4:$BL$147&gt;$BM$4:$BM$147))</f>
        <v>0</v>
      </c>
      <c r="AQ24" s="210">
        <f>SUMIF($BN$4:$BN$147,'Dummy Table'!$AF24,$BM$4:$BM$147)</f>
        <v>0</v>
      </c>
      <c r="AR24" s="210">
        <f>SUMIF($BN$4:$BN$147,'Dummy Table'!$AF24,$BL$4:$BL$147)</f>
        <v>0</v>
      </c>
      <c r="AS24" s="210">
        <f t="shared" si="26"/>
        <v>0</v>
      </c>
      <c r="AT24" s="210" t="str">
        <f t="shared" si="27"/>
        <v/>
      </c>
      <c r="AU24" s="210">
        <f t="shared" si="28"/>
        <v>0</v>
      </c>
      <c r="AV24" s="210">
        <f t="shared" si="29"/>
        <v>268</v>
      </c>
      <c r="AW24" s="210">
        <f t="shared" si="30"/>
        <v>0</v>
      </c>
      <c r="AX24" s="210">
        <f t="shared" si="31"/>
        <v>0</v>
      </c>
      <c r="AY24" s="210">
        <f t="shared" si="32"/>
        <v>0</v>
      </c>
      <c r="AZ24" s="210">
        <f t="shared" si="33"/>
        <v>0</v>
      </c>
      <c r="BA24" s="210">
        <f t="shared" si="44"/>
        <v>-1</v>
      </c>
      <c r="BB24" s="209" t="str">
        <f t="shared" si="2"/>
        <v/>
      </c>
      <c r="BC24" s="209" t="str">
        <f t="shared" si="3"/>
        <v/>
      </c>
      <c r="BD24" s="209" t="str">
        <f t="shared" si="4"/>
        <v/>
      </c>
      <c r="BE24" s="209">
        <f>RANK(BA24,BA$24:BA$27)</f>
        <v>3</v>
      </c>
      <c r="BF24" s="209">
        <f>SUMPRODUCT((BA$24:BA$27=BA24)*(AZ$24:AZ$27&gt;AZ24))</f>
        <v>0</v>
      </c>
      <c r="BG24" s="209">
        <f>SUMPRODUCT((BA$24:BA$27=BA24)*(BE$24:BE$27=BE24)*(AZ$24:AZ$27=AZ24)*(AQ$24:AQ$27&gt;AQ24))</f>
        <v>0</v>
      </c>
      <c r="BH24" s="209">
        <f>SUMPRODUCT((BA$24:BA$27=BA24)*(BE$24:BE$27=BE24)*(AZ$24:AZ$27=AZ24)*(AQ$24:AQ$27=AQ24)*(BB$24:BB$27&gt;BB24))</f>
        <v>0</v>
      </c>
      <c r="BI24" s="209">
        <f>SUMPRODUCT((BA$24:BA$27=BA24)*(BE$24:BE$27=BE24)*(AZ$24:AZ$27=AZ24)*(AQ$24:AQ$27=AQ24)*(BB$24:BB$27=BB24)*(BC$24:BC$27&gt;BC24))</f>
        <v>0</v>
      </c>
      <c r="BJ24" s="209">
        <f>SUMPRODUCT((BA$24:BA$27=BA24)*(BE$24:BE$27=BE24)*(AZ$24:AZ$27=AZ24)*(AQ$24:AQ$27=AQ24)*(BB$24:BB$27=BB24)*(BC$24:BC$27=BC24)*(BD$24:BD$27&gt;BD24))</f>
        <v>0</v>
      </c>
      <c r="BK24" s="209" t="str">
        <f>IF(AND(COUNTIF($AF$4:$AF$35,'Group Stages'!G30)&gt;0,COUNTIF($AF$4:$AF$35,'Group Stages'!M30)&gt;0,'Group Stages'!I30&lt;&gt;"",'Group Stages'!K30&lt;&gt;""),'Group Stages'!G30,"")</f>
        <v/>
      </c>
      <c r="BL24" s="209" t="str">
        <f>IF($BK24&lt;&gt;"",'Group Stages'!I30,"")</f>
        <v/>
      </c>
      <c r="BM24" s="209" t="str">
        <f>IF($BK24&lt;&gt;"",'Group Stages'!K30,"")</f>
        <v/>
      </c>
      <c r="BN24" s="209" t="str">
        <f>IF($BK24&lt;&gt;"",'Group Stages'!M30,"")</f>
        <v/>
      </c>
      <c r="BO24" s="209" t="str">
        <f t="shared" si="5"/>
        <v/>
      </c>
      <c r="BP24" s="209" t="str">
        <f t="shared" si="34"/>
        <v/>
      </c>
      <c r="BQ24" s="209">
        <f>VLOOKUP($AD24,$B$24:$W$27,22,FALSE)</f>
        <v>10</v>
      </c>
      <c r="BS24" s="217">
        <f>SUMPRODUCT(($CW$4:$CW$147='Dummy Table'!$BR24)*($CX$4:$CX$147&gt;$CY$4:$CY$147))</f>
        <v>0</v>
      </c>
      <c r="BT24" s="217">
        <f>SUMPRODUCT(($CW$4:$CW$147='Dummy Table'!$BR24)*($CX$4:$CX$147=$CY$4:$CY$147))</f>
        <v>142</v>
      </c>
      <c r="BU24" s="217">
        <f>SUMPRODUCT(($CW$4:$CW$147='Dummy Table'!$BR24)*($CX$4:$CX$147&lt;$CY$4:$CY$147))</f>
        <v>0</v>
      </c>
      <c r="BV24" s="217">
        <f>SUMIF($CW$4:$CW$147,'Dummy Table'!$BR24,$CX$4:$CX$147)</f>
        <v>0</v>
      </c>
      <c r="BW24" s="217">
        <f>SUMIF($CW$4:$CW$147,'Dummy Table'!$BR24,$CY$4:$CY$147)</f>
        <v>0</v>
      </c>
      <c r="BX24" s="217">
        <f t="shared" si="35"/>
        <v>0</v>
      </c>
      <c r="BY24" s="217" t="str">
        <f t="shared" si="36"/>
        <v/>
      </c>
      <c r="BZ24" s="217">
        <f>SUMPRODUCT(($CZ$4:$CZ$147='Dummy Table'!$BR24)*($CX$4:$CX$147&lt;$CY$4:$CY$147))</f>
        <v>0</v>
      </c>
      <c r="CA24" s="217">
        <f>SUMPRODUCT(($CZ$4:$CZ$147='Dummy Table'!$BR24)*($CX$4:$CX$147=$CY$4:$CY$147))</f>
        <v>142</v>
      </c>
      <c r="CB24" s="217">
        <f>SUMPRODUCT(($CZ$4:$CZ$147='Dummy Table'!$BR24)*($CX$4:$CX$147&gt;$CY$4:$CY$147))</f>
        <v>0</v>
      </c>
      <c r="CC24" s="217">
        <f>SUMIF($CZ$4:$CZ$147,'Dummy Table'!$BR24,$CY$4:$CY$147)</f>
        <v>0</v>
      </c>
      <c r="CD24" s="217">
        <f>SUMIF($CZ$4:$CZ$147,'Dummy Table'!$BR24,$CX$4:$CX$147)</f>
        <v>0</v>
      </c>
      <c r="CE24" s="217">
        <f t="shared" si="37"/>
        <v>0</v>
      </c>
      <c r="CF24" s="217" t="str">
        <f t="shared" si="38"/>
        <v/>
      </c>
      <c r="CG24" s="217">
        <f t="shared" si="39"/>
        <v>0</v>
      </c>
      <c r="CH24" s="217">
        <f t="shared" si="6"/>
        <v>284</v>
      </c>
      <c r="CI24" s="217">
        <f t="shared" si="7"/>
        <v>0</v>
      </c>
      <c r="CJ24" s="217">
        <f t="shared" si="8"/>
        <v>0</v>
      </c>
      <c r="CK24" s="217">
        <f t="shared" si="9"/>
        <v>0</v>
      </c>
      <c r="CL24" s="217">
        <f t="shared" si="10"/>
        <v>0</v>
      </c>
      <c r="CM24" s="217">
        <f t="shared" si="45"/>
        <v>-1</v>
      </c>
      <c r="CN24" s="210">
        <f t="shared" si="40"/>
        <v>28000</v>
      </c>
      <c r="CO24" s="210">
        <f>SUMIF($CZ$4:$CZ$147,'Dummy Table'!$BR24,$CY$4:$CY$147)*2</f>
        <v>0</v>
      </c>
      <c r="CP24" s="210">
        <f>RANK(CM24,CM$24:CM$27)</f>
        <v>1</v>
      </c>
      <c r="CR24" s="210">
        <f>SUMPRODUCT((CM$24:CM$27=CM24)*(CL$24:CL$27&gt;CL24))</f>
        <v>0</v>
      </c>
      <c r="CS24" s="210">
        <f>SUMPRODUCT((CP$24:CP$27=CP24)*(CR$24:CR$27=CR24)*(CO$24:CO$27&gt;CO24))</f>
        <v>0</v>
      </c>
      <c r="CT24" s="210">
        <f>IF(BR24&lt;&gt;"",SUMPRODUCT((CP$24:CP$27=CP24)*(CR$24:CR$27=CR24)*(CS$24:CS$27=CS24)*(V$24:V$27&gt;V24)),0)</f>
        <v>0</v>
      </c>
      <c r="CU24" s="210">
        <f>IF($BR24&lt;&gt;"",SUMPRODUCT((CP$24:CP$27=CP24)*(CR$24:CR$27=CR24)*(CS$24:CS$27=CS24)*(CT$24:CT$27=CT24)*(T$24:T$27&gt;T24)),0)</f>
        <v>0</v>
      </c>
      <c r="CV24" s="210">
        <f>SUMPRODUCT((CP$24:CP$27=CP24)*(CR$24:CR$27=CR24)*(CS$24:CS$27=CS24)*(CT$24:CT$27=CT24)*(CU$24:CU$27=CU24)*(CN$24:CN$27&gt;CN24))</f>
        <v>1</v>
      </c>
      <c r="CW24" s="209" t="str">
        <f>IF(AND(COUNTIF($BR$4:$BR$35,'Group Stages'!$G30)&gt;0,COUNTIF($BR$4:$BR$35,'Group Stages'!$M30)&gt;0),'Group Stages'!$G30,"")</f>
        <v/>
      </c>
      <c r="CX24" s="209" t="str">
        <f>IF($CW24&lt;&gt;"",'Group Stages'!$I30,"")</f>
        <v/>
      </c>
      <c r="CY24" s="209" t="str">
        <f>IF($CW24&lt;&gt;"",'Group Stages'!$K30,"")</f>
        <v/>
      </c>
      <c r="CZ24" s="209" t="str">
        <f>IF($CW24&lt;&gt;"",'Group Stages'!$M30,"")</f>
        <v/>
      </c>
      <c r="DA24" s="210" t="str">
        <f t="shared" si="11"/>
        <v/>
      </c>
      <c r="DB24" s="209" t="str">
        <f t="shared" si="43"/>
        <v/>
      </c>
      <c r="DC24" s="209">
        <v>1</v>
      </c>
      <c r="DD24" s="209" t="str">
        <f t="shared" si="47"/>
        <v>Arsenal FC</v>
      </c>
      <c r="DE24" s="209" t="str">
        <f t="shared" ref="DE24" si="97">IF(DD24="",DC24,"")</f>
        <v/>
      </c>
      <c r="DF24" s="209" t="str">
        <f>VLOOKUP(DE24,$BO$24:$BP$27,2,FALSE)</f>
        <v/>
      </c>
      <c r="DG24" s="209">
        <v>1</v>
      </c>
      <c r="DH24" s="209" t="str">
        <f t="shared" ref="DH24:DH25" si="98">IF(DD24="",DF24,DD24)</f>
        <v>Arsenal FC</v>
      </c>
      <c r="DI24" s="209">
        <v>21</v>
      </c>
    </row>
    <row r="25" spans="1:113">
      <c r="A25" s="209">
        <f t="shared" si="12"/>
        <v>3</v>
      </c>
      <c r="B25" s="209" t="str">
        <f>'Team Setup'!B26</f>
        <v>Standard Liège</v>
      </c>
      <c r="C25" s="210">
        <f>SUMPRODUCT(('Group Stages'!$I$10:$I$153&lt;&gt;"")*('Group Stages'!$K$10:$K$153&lt;&gt;"")*('Group Stages'!$G$10:$G$153='Dummy Table'!$B25)*('Group Stages'!$I$10:$I$153&gt;'Group Stages'!$K$10:$K$153))</f>
        <v>2</v>
      </c>
      <c r="D25" s="210">
        <f>SUMPRODUCT(('Group Stages'!$I$10:$I$153&lt;&gt;"")*('Group Stages'!$K$10:$K$153&lt;&gt;"")*('Group Stages'!$G$10:$G$153='Dummy Table'!$B25)*('Group Stages'!$I$10:$I$153='Group Stages'!$K$10:$K$153))</f>
        <v>0</v>
      </c>
      <c r="E25" s="210">
        <f>SUMPRODUCT(('Group Stages'!$I$10:$I$153&lt;&gt;"")*('Group Stages'!$K$10:$K$153&lt;&gt;"")*('Group Stages'!$G$10:$G$153='Dummy Table'!$B25)*('Group Stages'!$I$10:$I$153&lt;'Group Stages'!$K$10:$K$153))</f>
        <v>0</v>
      </c>
      <c r="F25" s="210">
        <f>SUMIF('Group Stages'!$G$10:$G$153,'Dummy Table'!$B25,'Group Stages'!$I$10:$I$153)</f>
        <v>0</v>
      </c>
      <c r="G25" s="210">
        <f>SUMIF('Group Stages'!$G$10:$G$153,'Dummy Table'!$B25,'Group Stages'!$K$10:$K$153)</f>
        <v>0</v>
      </c>
      <c r="H25" s="210">
        <f t="shared" si="13"/>
        <v>0</v>
      </c>
      <c r="I25" s="210">
        <f t="shared" si="14"/>
        <v>6</v>
      </c>
      <c r="J25" s="209">
        <f>SUMPRODUCT(('Group Stages'!$I$10:$I$153&lt;&gt;"")*('Group Stages'!$K$10:$K$153&lt;&gt;"")*('Group Stages'!$M$10:$M$153='Dummy Table'!$B25)*('Group Stages'!$I$10:$I$153&lt;'Group Stages'!$K$10:$K$153))</f>
        <v>0</v>
      </c>
      <c r="K25" s="209">
        <f>SUMPRODUCT(('Group Stages'!$I$10:$I$153&lt;&gt;"")*('Group Stages'!$K$10:$K$153&lt;&gt;"")*('Group Stages'!$M$10:$M$153='Dummy Table'!$B25)*('Group Stages'!$I$10:$I$153='Group Stages'!$K$10:$K$153))</f>
        <v>0</v>
      </c>
      <c r="L25" s="209">
        <f>SUMPRODUCT(('Group Stages'!$I$10:$I$153&lt;&gt;"")*('Group Stages'!$K$10:$K$153&lt;&gt;"")*('Group Stages'!$M$10:$M$153='Dummy Table'!$B25)*('Group Stages'!$I$10:$I$153&gt;'Group Stages'!$K$10:$K$153))</f>
        <v>2</v>
      </c>
      <c r="M25" s="209">
        <f>SUMIF('Group Stages'!$M$10:$M$153,'Dummy Table'!$B25,'Group Stages'!$K$10:$K$153)</f>
        <v>0</v>
      </c>
      <c r="N25" s="209">
        <f>SUMIF('Group Stages'!$M$10:$M$153,'Dummy Table'!$B25,'Group Stages'!$I$10:$I$153)</f>
        <v>0</v>
      </c>
      <c r="O25" s="209">
        <f t="shared" si="15"/>
        <v>0</v>
      </c>
      <c r="P25" s="209">
        <f t="shared" si="16"/>
        <v>0</v>
      </c>
      <c r="Q25" s="209">
        <f t="shared" si="17"/>
        <v>2</v>
      </c>
      <c r="R25" s="209">
        <f t="shared" si="18"/>
        <v>0</v>
      </c>
      <c r="S25" s="209">
        <f t="shared" si="19"/>
        <v>2</v>
      </c>
      <c r="T25" s="209">
        <f t="shared" si="20"/>
        <v>0</v>
      </c>
      <c r="U25" s="209">
        <f t="shared" si="21"/>
        <v>0</v>
      </c>
      <c r="V25" s="209">
        <f t="shared" si="22"/>
        <v>0</v>
      </c>
      <c r="W25" s="209">
        <f t="shared" si="23"/>
        <v>6</v>
      </c>
      <c r="X25" s="210">
        <f>IF('Team Setup'!F26&lt;&gt;"",'Team Setup'!F26,DI25)</f>
        <v>18500</v>
      </c>
      <c r="Y25" s="210">
        <f>RANK(W25,W$24:W$27)</f>
        <v>2</v>
      </c>
      <c r="Z25" s="210">
        <f>SUMPRODUCT((W$24:W$27=W25)*(V$24:V$27&gt;V25))</f>
        <v>0</v>
      </c>
      <c r="AA25" s="210">
        <f>SUMPRODUCT((Y$24:Y$27=Y25)*(Z$24:Z$27=Z25)*(T$24:T$27&gt;T25))</f>
        <v>0</v>
      </c>
      <c r="AB25" s="210">
        <f>SUMPRODUCT((Y$24:Y$27=Y25)*(Z$24:Z$27=Z25)*(T$24:T$27=T25)*(X$24:X$27&gt;X25))</f>
        <v>1</v>
      </c>
      <c r="AC25" s="209">
        <v>2</v>
      </c>
      <c r="AD25" s="209" t="str">
        <f>VLOOKUP(AC25,$A$24:$B$27,2,FALSE)</f>
        <v>Eintracht Frankfurt</v>
      </c>
      <c r="AE25" s="209">
        <f>VLOOKUP($AD25,$B$24:$W$27,22,FALSE)</f>
        <v>6</v>
      </c>
      <c r="AF25" s="209" t="str">
        <f t="shared" ref="AF25" si="99">IF(OR(AE25=AE24,AE25=AE26),AD25,"")</f>
        <v>Eintracht Frankfurt</v>
      </c>
      <c r="AG25" s="210">
        <f>SUMPRODUCT(($BK$4:$BK$147='Dummy Table'!$AF25)*($BL$4:$BL$147&gt;$BM$4:$BM$147))</f>
        <v>1</v>
      </c>
      <c r="AH25" s="210">
        <f>SUMPRODUCT(($BK$4:$BK$147='Dummy Table'!$AF25)*($BL$4:$BL$147=$BM$4:$BM$147))</f>
        <v>0</v>
      </c>
      <c r="AI25" s="210">
        <f>SUMPRODUCT(($BK$4:$BK$147='Dummy Table'!$AF25)*($BL$4:$BL$147&lt;$BM$4:$BM$147))</f>
        <v>0</v>
      </c>
      <c r="AJ25" s="210">
        <f>SUMIF($BK$4:$BK$147,'Dummy Table'!$AF25,$BL$4:$BL$147)</f>
        <v>0</v>
      </c>
      <c r="AK25" s="210">
        <f>SUMIF($BK$4:$BK$147,'Dummy Table'!$AF25,$BM$4:$BM$147)</f>
        <v>0</v>
      </c>
      <c r="AL25" s="210">
        <f t="shared" si="24"/>
        <v>0</v>
      </c>
      <c r="AM25" s="210">
        <f t="shared" si="25"/>
        <v>3</v>
      </c>
      <c r="AN25" s="210">
        <f>SUMPRODUCT(($BN$4:$BN$147='Dummy Table'!$AF25)*($BL$4:$BL$147&lt;$BM$4:$BM$147))</f>
        <v>0</v>
      </c>
      <c r="AO25" s="210">
        <f>SUMPRODUCT(($BN$4:$BN$147='Dummy Table'!$AF25)*($BL$4:$BL$147=$BM$4:$BM$147))</f>
        <v>0</v>
      </c>
      <c r="AP25" s="210">
        <f>SUMPRODUCT(($BN$4:$BN$147='Dummy Table'!$AF25)*($BL$4:$BL$147&gt;$BM$4:$BM$147))</f>
        <v>1</v>
      </c>
      <c r="AQ25" s="210">
        <f>SUMIF($BN$4:$BN$147,'Dummy Table'!$AF25,$BM$4:$BM$147)</f>
        <v>0</v>
      </c>
      <c r="AR25" s="210">
        <f>SUMIF($BN$4:$BN$147,'Dummy Table'!$AF25,$BL$4:$BL$147)</f>
        <v>0</v>
      </c>
      <c r="AS25" s="210">
        <f t="shared" si="26"/>
        <v>0</v>
      </c>
      <c r="AT25" s="210">
        <f t="shared" si="27"/>
        <v>0</v>
      </c>
      <c r="AU25" s="210">
        <f t="shared" si="28"/>
        <v>1</v>
      </c>
      <c r="AV25" s="210">
        <f t="shared" si="29"/>
        <v>0</v>
      </c>
      <c r="AW25" s="210">
        <f t="shared" si="30"/>
        <v>1</v>
      </c>
      <c r="AX25" s="210">
        <f t="shared" si="31"/>
        <v>0</v>
      </c>
      <c r="AY25" s="210">
        <f t="shared" si="32"/>
        <v>0</v>
      </c>
      <c r="AZ25" s="210">
        <f t="shared" si="33"/>
        <v>0</v>
      </c>
      <c r="BA25" s="210">
        <f t="shared" si="44"/>
        <v>3</v>
      </c>
      <c r="BB25" s="209">
        <f t="shared" si="2"/>
        <v>0</v>
      </c>
      <c r="BC25" s="209">
        <f t="shared" si="3"/>
        <v>0</v>
      </c>
      <c r="BD25" s="209">
        <f t="shared" si="4"/>
        <v>28000</v>
      </c>
      <c r="BE25" s="209">
        <f>RANK(BA25,BA$24:BA$27)</f>
        <v>1</v>
      </c>
      <c r="BF25" s="209">
        <f>SUMPRODUCT((BA$24:BA$27=BA25)*(AZ$24:AZ$27&gt;AZ25))</f>
        <v>0</v>
      </c>
      <c r="BG25" s="209">
        <f>SUMPRODUCT((BA$24:BA$27=BA25)*(BE$24:BE$27=BE25)*(AZ$24:AZ$27=AZ25)*(AQ$24:AQ$27&gt;AQ25))</f>
        <v>0</v>
      </c>
      <c r="BH25" s="209">
        <f>SUMPRODUCT((BA$24:BA$27=BA25)*(BE$24:BE$27=BE25)*(AZ$24:AZ$27=AZ25)*(AQ$24:AQ$27=AQ25)*(BB$24:BB$27&gt;BB25))</f>
        <v>0</v>
      </c>
      <c r="BI25" s="209">
        <f>SUMPRODUCT((BA$24:BA$27=BA25)*(BE$24:BE$27=BE25)*(AZ$24:AZ$27=AZ25)*(AQ$24:AQ$27=AQ25)*(BB$24:BB$27=BB25)*(BC$24:BC$27&gt;BC25))</f>
        <v>0</v>
      </c>
      <c r="BJ25" s="209">
        <f>SUMPRODUCT((BA$24:BA$27=BA25)*(BE$24:BE$27=BE25)*(AZ$24:AZ$27=AZ25)*(AQ$24:AQ$27=AQ25)*(BB$24:BB$27=BB25)*(BC$24:BC$27=BC25)*(BD$24:BD$27&gt;BD25))</f>
        <v>0</v>
      </c>
      <c r="BK25" s="209" t="str">
        <f>IF(AND(COUNTIF($AF$4:$AF$35,'Group Stages'!G31)&gt;0,COUNTIF($AF$4:$AF$35,'Group Stages'!M31)&gt;0,'Group Stages'!I31&lt;&gt;"",'Group Stages'!K31&lt;&gt;""),'Group Stages'!G31,"")</f>
        <v/>
      </c>
      <c r="BL25" s="209" t="str">
        <f>IF($BK25&lt;&gt;"",'Group Stages'!I31,"")</f>
        <v/>
      </c>
      <c r="BM25" s="209" t="str">
        <f>IF($BK25&lt;&gt;"",'Group Stages'!K31,"")</f>
        <v/>
      </c>
      <c r="BN25" s="209" t="str">
        <f>IF($BK25&lt;&gt;"",'Group Stages'!M31,"")</f>
        <v/>
      </c>
      <c r="BO25" s="209">
        <f t="shared" si="5"/>
        <v>1</v>
      </c>
      <c r="BP25" s="209" t="str">
        <f t="shared" si="34"/>
        <v>Eintracht Frankfurt</v>
      </c>
      <c r="BQ25" s="209">
        <f>VLOOKUP($AD25,$B$24:$W$27,22,FALSE)</f>
        <v>6</v>
      </c>
      <c r="BS25" s="217">
        <f>SUMPRODUCT(($CW$4:$CW$147='Dummy Table'!$BR25)*($CX$4:$CX$147&gt;$CY$4:$CY$147))</f>
        <v>0</v>
      </c>
      <c r="BT25" s="217">
        <f>SUMPRODUCT(($CW$4:$CW$147='Dummy Table'!$BR25)*($CX$4:$CX$147=$CY$4:$CY$147))</f>
        <v>142</v>
      </c>
      <c r="BU25" s="217">
        <f>SUMPRODUCT(($CW$4:$CW$147='Dummy Table'!$BR25)*($CX$4:$CX$147&lt;$CY$4:$CY$147))</f>
        <v>0</v>
      </c>
      <c r="BV25" s="217">
        <f>SUMIF($CW$4:$CW$147,'Dummy Table'!$BR25,$CX$4:$CX$147)</f>
        <v>0</v>
      </c>
      <c r="BW25" s="217">
        <f>SUMIF($CW$4:$CW$147,'Dummy Table'!$BR25,$CY$4:$CY$147)</f>
        <v>0</v>
      </c>
      <c r="BX25" s="217">
        <f t="shared" si="35"/>
        <v>0</v>
      </c>
      <c r="BY25" s="217" t="str">
        <f t="shared" si="36"/>
        <v/>
      </c>
      <c r="BZ25" s="217">
        <f>SUMPRODUCT(($CZ$4:$CZ$147='Dummy Table'!$BR25)*($CX$4:$CX$147&lt;$CY$4:$CY$147))</f>
        <v>0</v>
      </c>
      <c r="CA25" s="217">
        <f>SUMPRODUCT(($CZ$4:$CZ$147='Dummy Table'!$BR25)*($CX$4:$CX$147=$CY$4:$CY$147))</f>
        <v>142</v>
      </c>
      <c r="CB25" s="217">
        <f>SUMPRODUCT(($CZ$4:$CZ$147='Dummy Table'!$BR25)*($CX$4:$CX$147&gt;$CY$4:$CY$147))</f>
        <v>0</v>
      </c>
      <c r="CC25" s="217">
        <f>SUMIF($CZ$4:$CZ$147,'Dummy Table'!$BR25,$CY$4:$CY$147)</f>
        <v>0</v>
      </c>
      <c r="CD25" s="217">
        <f>SUMIF($CZ$4:$CZ$147,'Dummy Table'!$BR25,$CX$4:$CX$147)</f>
        <v>0</v>
      </c>
      <c r="CE25" s="217">
        <f t="shared" si="37"/>
        <v>0</v>
      </c>
      <c r="CF25" s="217" t="str">
        <f t="shared" si="38"/>
        <v/>
      </c>
      <c r="CG25" s="217">
        <f t="shared" si="39"/>
        <v>0</v>
      </c>
      <c r="CH25" s="217">
        <f t="shared" si="6"/>
        <v>284</v>
      </c>
      <c r="CI25" s="217">
        <f t="shared" si="7"/>
        <v>0</v>
      </c>
      <c r="CJ25" s="217">
        <f t="shared" si="8"/>
        <v>0</v>
      </c>
      <c r="CK25" s="217">
        <f t="shared" si="9"/>
        <v>0</v>
      </c>
      <c r="CL25" s="217">
        <f t="shared" si="10"/>
        <v>0</v>
      </c>
      <c r="CM25" s="217">
        <f t="shared" si="45"/>
        <v>-1</v>
      </c>
      <c r="CN25" s="210">
        <f>IF("musa"="musa",X25,X25)</f>
        <v>18500</v>
      </c>
      <c r="CO25" s="210">
        <f>SUMIF($CZ$4:$CZ$147,'Dummy Table'!$BR25,$CY$4:$CY$147)*2</f>
        <v>0</v>
      </c>
      <c r="CP25" s="210">
        <f>RANK(CM25,CM$24:CM$27)</f>
        <v>1</v>
      </c>
      <c r="CR25" s="210">
        <f>SUMPRODUCT((CM$24:CM$27=CM25)*(CL$24:CL$27&gt;CL25))</f>
        <v>0</v>
      </c>
      <c r="CS25" s="210">
        <f>SUMPRODUCT((CP$24:CP$27=CP25)*(CR$24:CR$27=CR25)*(CO$24:CO$27&gt;CO25))</f>
        <v>0</v>
      </c>
      <c r="CT25" s="210">
        <f>IF(BR25&lt;&gt;"",SUMPRODUCT((CP$24:CP$27=CP25)*(CR$24:CR$27=CR25)*(CS$24:CS$27=CS25)*(V$24:V$27&gt;V25)),0)</f>
        <v>0</v>
      </c>
      <c r="CU25" s="210">
        <f>IF($BR25&lt;&gt;"",SUMPRODUCT((CP$24:CP$27=CP25)*(CR$24:CR$27=CR25)*(CS$24:CS$27=CS25)*(CT$24:CT$27=CT25)*(T$24:T$27&gt;T25)),0)</f>
        <v>0</v>
      </c>
      <c r="CV25" s="210">
        <f>SUMPRODUCT((CP$24:CP$27=CP25)*(CR$24:CR$27=CR25)*(CS$24:CS$27=CS25)*(CT$24:CT$27=CT25)*(CU$24:CU$27=CU25)*(CN$24:CN$27&gt;CN25))</f>
        <v>2</v>
      </c>
      <c r="CW25" s="209" t="str">
        <f>IF(AND(COUNTIF($BR$4:$BR$35,'Group Stages'!$G31)&gt;0,COUNTIF($BR$4:$BR$35,'Group Stages'!$M31)&gt;0),'Group Stages'!$G31,"")</f>
        <v/>
      </c>
      <c r="CX25" s="209" t="str">
        <f>IF($CW25&lt;&gt;"",'Group Stages'!$I31,"")</f>
        <v/>
      </c>
      <c r="CY25" s="209" t="str">
        <f>IF($CW25&lt;&gt;"",'Group Stages'!$K31,"")</f>
        <v/>
      </c>
      <c r="CZ25" s="209" t="str">
        <f>IF($CW25&lt;&gt;"",'Group Stages'!$M31,"")</f>
        <v/>
      </c>
      <c r="DA25" s="210" t="str">
        <f t="shared" si="11"/>
        <v/>
      </c>
      <c r="DB25" s="209" t="str">
        <f t="shared" si="43"/>
        <v/>
      </c>
      <c r="DC25" s="209">
        <v>2</v>
      </c>
      <c r="DD25" s="209" t="str">
        <f t="shared" si="47"/>
        <v/>
      </c>
      <c r="DE25" s="209">
        <f t="shared" ref="DE25" si="100">IF(AND(DD25="",DD24=""),DC25,IF(AND(DD24&lt;&gt;"",DD25=""),1,""))</f>
        <v>1</v>
      </c>
      <c r="DF25" s="209" t="str">
        <f>VLOOKUP(DE25,$BO$24:$BP$27,2,FALSE)</f>
        <v>Eintracht Frankfurt</v>
      </c>
      <c r="DG25" s="209">
        <v>2</v>
      </c>
      <c r="DH25" s="209" t="str">
        <f t="shared" si="98"/>
        <v>Eintracht Frankfurt</v>
      </c>
      <c r="DI25" s="209">
        <v>22</v>
      </c>
    </row>
    <row r="26" spans="1:113">
      <c r="A26" s="209">
        <f t="shared" si="12"/>
        <v>1</v>
      </c>
      <c r="B26" s="209" t="str">
        <f>'Team Setup'!B27</f>
        <v>Arsenal FC</v>
      </c>
      <c r="C26" s="210">
        <f>SUMPRODUCT(('Group Stages'!$I$10:$I$153&lt;&gt;"")*('Group Stages'!$K$10:$K$153&lt;&gt;"")*('Group Stages'!$G$10:$G$153='Dummy Table'!$B26)*('Group Stages'!$I$10:$I$153&gt;'Group Stages'!$K$10:$K$153))</f>
        <v>2</v>
      </c>
      <c r="D26" s="210">
        <f>SUMPRODUCT(('Group Stages'!$I$10:$I$153&lt;&gt;"")*('Group Stages'!$K$10:$K$153&lt;&gt;"")*('Group Stages'!$G$10:$G$153='Dummy Table'!$B26)*('Group Stages'!$I$10:$I$153='Group Stages'!$K$10:$K$153))</f>
        <v>0</v>
      </c>
      <c r="E26" s="210">
        <f>SUMPRODUCT(('Group Stages'!$I$10:$I$153&lt;&gt;"")*('Group Stages'!$K$10:$K$153&lt;&gt;"")*('Group Stages'!$G$10:$G$153='Dummy Table'!$B26)*('Group Stages'!$I$10:$I$153&lt;'Group Stages'!$K$10:$K$153))</f>
        <v>0</v>
      </c>
      <c r="F26" s="210">
        <f>SUMIF('Group Stages'!$G$10:$G$153,'Dummy Table'!$B26,'Group Stages'!$I$10:$I$153)</f>
        <v>0</v>
      </c>
      <c r="G26" s="210">
        <f>SUMIF('Group Stages'!$G$10:$G$153,'Dummy Table'!$B26,'Group Stages'!$K$10:$K$153)</f>
        <v>0</v>
      </c>
      <c r="H26" s="210">
        <f t="shared" si="13"/>
        <v>0</v>
      </c>
      <c r="I26" s="210">
        <f t="shared" si="14"/>
        <v>6</v>
      </c>
      <c r="J26" s="209">
        <f>SUMPRODUCT(('Group Stages'!$I$10:$I$153&lt;&gt;"")*('Group Stages'!$K$10:$K$153&lt;&gt;"")*('Group Stages'!$M$10:$M$153='Dummy Table'!$B26)*('Group Stages'!$I$10:$I$153&lt;'Group Stages'!$K$10:$K$153))</f>
        <v>1</v>
      </c>
      <c r="K26" s="209">
        <f>SUMPRODUCT(('Group Stages'!$I$10:$I$153&lt;&gt;"")*('Group Stages'!$K$10:$K$153&lt;&gt;"")*('Group Stages'!$M$10:$M$153='Dummy Table'!$B26)*('Group Stages'!$I$10:$I$153='Group Stages'!$K$10:$K$153))</f>
        <v>1</v>
      </c>
      <c r="L26" s="209">
        <f>SUMPRODUCT(('Group Stages'!$I$10:$I$153&lt;&gt;"")*('Group Stages'!$K$10:$K$153&lt;&gt;"")*('Group Stages'!$M$10:$M$153='Dummy Table'!$B26)*('Group Stages'!$I$10:$I$153&gt;'Group Stages'!$K$10:$K$153))</f>
        <v>0</v>
      </c>
      <c r="M26" s="209">
        <f>SUMIF('Group Stages'!$M$10:$M$153,'Dummy Table'!$B26,'Group Stages'!$K$10:$K$153)</f>
        <v>0</v>
      </c>
      <c r="N26" s="209">
        <f>SUMIF('Group Stages'!$M$10:$M$153,'Dummy Table'!$B26,'Group Stages'!$I$10:$I$153)</f>
        <v>0</v>
      </c>
      <c r="O26" s="209">
        <f t="shared" si="15"/>
        <v>0</v>
      </c>
      <c r="P26" s="209">
        <f t="shared" si="16"/>
        <v>4</v>
      </c>
      <c r="Q26" s="209">
        <f t="shared" si="17"/>
        <v>3</v>
      </c>
      <c r="R26" s="209">
        <f t="shared" si="18"/>
        <v>1</v>
      </c>
      <c r="S26" s="209">
        <f t="shared" si="19"/>
        <v>0</v>
      </c>
      <c r="T26" s="209">
        <f t="shared" si="20"/>
        <v>0</v>
      </c>
      <c r="U26" s="209">
        <f t="shared" si="21"/>
        <v>0</v>
      </c>
      <c r="V26" s="209">
        <f t="shared" si="22"/>
        <v>0</v>
      </c>
      <c r="W26" s="209">
        <f t="shared" si="23"/>
        <v>10</v>
      </c>
      <c r="X26" s="210">
        <f>IF('Team Setup'!F27&lt;&gt;"",'Team Setup'!F27,DI26)</f>
        <v>88000</v>
      </c>
      <c r="Y26" s="210">
        <f>RANK(W26,W$24:W$27)</f>
        <v>1</v>
      </c>
      <c r="Z26" s="210">
        <f>SUMPRODUCT((W$24:W$27=W26)*(V$24:V$27&gt;V26))</f>
        <v>0</v>
      </c>
      <c r="AA26" s="210">
        <f>SUMPRODUCT((Y$24:Y$27=Y26)*(Z$24:Z$27=Z26)*(T$24:T$27&gt;T26))</f>
        <v>0</v>
      </c>
      <c r="AB26" s="210">
        <f>SUMPRODUCT((Y$24:Y$27=Y26)*(Z$24:Z$27=Z26)*(T$24:T$27=T26)*(X$24:X$27&gt;X26))</f>
        <v>0</v>
      </c>
      <c r="AC26" s="209">
        <v>3</v>
      </c>
      <c r="AD26" s="209" t="str">
        <f>VLOOKUP(AC26,$A$24:$B$27,2,FALSE)</f>
        <v>Standard Liège</v>
      </c>
      <c r="AE26" s="209">
        <f>VLOOKUP($AD26,$B$24:$W$27,22,FALSE)</f>
        <v>6</v>
      </c>
      <c r="AF26" s="209" t="str">
        <f t="shared" ref="AF26" si="101">IF(AE26=AE25,AD26,"")</f>
        <v>Standard Liège</v>
      </c>
      <c r="AG26" s="210">
        <f>SUMPRODUCT(($BK$4:$BK$147='Dummy Table'!$AF26)*($BL$4:$BL$147&gt;$BM$4:$BM$147))</f>
        <v>1</v>
      </c>
      <c r="AH26" s="210">
        <f>SUMPRODUCT(($BK$4:$BK$147='Dummy Table'!$AF26)*($BL$4:$BL$147=$BM$4:$BM$147))</f>
        <v>0</v>
      </c>
      <c r="AI26" s="210">
        <f>SUMPRODUCT(($BK$4:$BK$147='Dummy Table'!$AF26)*($BL$4:$BL$147&lt;$BM$4:$BM$147))</f>
        <v>0</v>
      </c>
      <c r="AJ26" s="210">
        <f>SUMIF($BK$4:$BK$147,'Dummy Table'!$AF26,$BL$4:$BL$147)</f>
        <v>0</v>
      </c>
      <c r="AK26" s="210">
        <f>SUMIF($BK$4:$BK$147,'Dummy Table'!$AF26,$BM$4:$BM$147)</f>
        <v>0</v>
      </c>
      <c r="AL26" s="210">
        <f t="shared" si="24"/>
        <v>0</v>
      </c>
      <c r="AM26" s="210">
        <f t="shared" si="25"/>
        <v>3</v>
      </c>
      <c r="AN26" s="210">
        <f>SUMPRODUCT(($BN$4:$BN$147='Dummy Table'!$AF26)*($BL$4:$BL$147&lt;$BM$4:$BM$147))</f>
        <v>0</v>
      </c>
      <c r="AO26" s="210">
        <f>SUMPRODUCT(($BN$4:$BN$147='Dummy Table'!$AF26)*($BL$4:$BL$147=$BM$4:$BM$147))</f>
        <v>0</v>
      </c>
      <c r="AP26" s="210">
        <f>SUMPRODUCT(($BN$4:$BN$147='Dummy Table'!$AF26)*($BL$4:$BL$147&gt;$BM$4:$BM$147))</f>
        <v>1</v>
      </c>
      <c r="AQ26" s="210">
        <f>SUMIF($BN$4:$BN$147,'Dummy Table'!$AF26,$BM$4:$BM$147)</f>
        <v>0</v>
      </c>
      <c r="AR26" s="210">
        <f>SUMIF($BN$4:$BN$147,'Dummy Table'!$AF26,$BL$4:$BL$147)</f>
        <v>0</v>
      </c>
      <c r="AS26" s="210">
        <f t="shared" si="26"/>
        <v>0</v>
      </c>
      <c r="AT26" s="210">
        <f t="shared" si="27"/>
        <v>0</v>
      </c>
      <c r="AU26" s="210">
        <f t="shared" si="28"/>
        <v>1</v>
      </c>
      <c r="AV26" s="210">
        <f t="shared" si="29"/>
        <v>0</v>
      </c>
      <c r="AW26" s="210">
        <f t="shared" si="30"/>
        <v>1</v>
      </c>
      <c r="AX26" s="210">
        <f t="shared" si="31"/>
        <v>0</v>
      </c>
      <c r="AY26" s="210">
        <f t="shared" si="32"/>
        <v>0</v>
      </c>
      <c r="AZ26" s="210">
        <f t="shared" si="33"/>
        <v>0</v>
      </c>
      <c r="BA26" s="210">
        <f t="shared" si="44"/>
        <v>3</v>
      </c>
      <c r="BB26" s="209">
        <f t="shared" si="2"/>
        <v>0</v>
      </c>
      <c r="BC26" s="209">
        <f t="shared" si="3"/>
        <v>0</v>
      </c>
      <c r="BD26" s="209">
        <f t="shared" si="4"/>
        <v>18500</v>
      </c>
      <c r="BE26" s="209">
        <f>RANK(BA26,BA$24:BA$27)</f>
        <v>1</v>
      </c>
      <c r="BF26" s="209">
        <f>SUMPRODUCT((BA$24:BA$27=BA26)*(AZ$24:AZ$27&gt;AZ26))</f>
        <v>0</v>
      </c>
      <c r="BG26" s="209">
        <f>SUMPRODUCT((BA$24:BA$27=BA26)*(BE$24:BE$27=BE26)*(AZ$24:AZ$27=AZ26)*(AQ$24:AQ$27&gt;AQ26))</f>
        <v>0</v>
      </c>
      <c r="BH26" s="209">
        <f>SUMPRODUCT((BA$24:BA$27=BA26)*(BE$24:BE$27=BE26)*(AZ$24:AZ$27=AZ26)*(AQ$24:AQ$27=AQ26)*(BB$24:BB$27&gt;BB26))</f>
        <v>0</v>
      </c>
      <c r="BI26" s="209">
        <f>SUMPRODUCT((BA$24:BA$27=BA26)*(BE$24:BE$27=BE26)*(AZ$24:AZ$27=AZ26)*(AQ$24:AQ$27=AQ26)*(BB$24:BB$27=BB26)*(BC$24:BC$27&gt;BC26))</f>
        <v>0</v>
      </c>
      <c r="BJ26" s="209">
        <f>SUMPRODUCT((BA$24:BA$27=BA26)*(BE$24:BE$27=BE26)*(AZ$24:AZ$27=AZ26)*(AQ$24:AQ$27=AQ26)*(BB$24:BB$27=BB26)*(BC$24:BC$27=BC26)*(BD$24:BD$27&gt;BD26))</f>
        <v>1</v>
      </c>
      <c r="BK26" s="209" t="str">
        <f>IF(AND(COUNTIF($AF$4:$AF$35,'Group Stages'!G32)&gt;0,COUNTIF($AF$4:$AF$35,'Group Stages'!M32)&gt;0,'Group Stages'!I32&lt;&gt;"",'Group Stages'!K32&lt;&gt;""),'Group Stages'!G32,"")</f>
        <v/>
      </c>
      <c r="BL26" s="209" t="str">
        <f>IF($BK26&lt;&gt;"",'Group Stages'!I32,"")</f>
        <v/>
      </c>
      <c r="BM26" s="209" t="str">
        <f>IF($BK26&lt;&gt;"",'Group Stages'!K32,"")</f>
        <v/>
      </c>
      <c r="BN26" s="209" t="str">
        <f>IF($BK26&lt;&gt;"",'Group Stages'!M32,"")</f>
        <v/>
      </c>
      <c r="BO26" s="209">
        <f t="shared" si="5"/>
        <v>2</v>
      </c>
      <c r="BP26" s="209" t="str">
        <f t="shared" si="34"/>
        <v>Standard Liège</v>
      </c>
      <c r="BQ26" s="209">
        <f>VLOOKUP($AD26,$B$24:$W$27,22,FALSE)</f>
        <v>6</v>
      </c>
      <c r="BR26" s="209" t="str">
        <f t="shared" ref="BR26" si="102">IF(AND(BQ26&lt;&gt;BQ25,BQ26=BQ27),AD26,"")</f>
        <v/>
      </c>
      <c r="BS26" s="217">
        <f>SUMPRODUCT(($CW$4:$CW$147='Dummy Table'!$BR26)*($CX$4:$CX$147&gt;$CY$4:$CY$147))</f>
        <v>0</v>
      </c>
      <c r="BT26" s="217">
        <f>SUMPRODUCT(($CW$4:$CW$147='Dummy Table'!$BR26)*($CX$4:$CX$147=$CY$4:$CY$147))</f>
        <v>142</v>
      </c>
      <c r="BU26" s="217">
        <f>SUMPRODUCT(($CW$4:$CW$147='Dummy Table'!$BR26)*($CX$4:$CX$147&lt;$CY$4:$CY$147))</f>
        <v>0</v>
      </c>
      <c r="BV26" s="217">
        <f>SUMIF($CW$4:$CW$147,'Dummy Table'!$BR26,$CX$4:$CX$147)</f>
        <v>0</v>
      </c>
      <c r="BW26" s="217">
        <f>SUMIF($CW$4:$CW$147,'Dummy Table'!$BR26,$CY$4:$CY$147)</f>
        <v>0</v>
      </c>
      <c r="BX26" s="217">
        <f t="shared" si="35"/>
        <v>0</v>
      </c>
      <c r="BY26" s="217" t="str">
        <f t="shared" si="36"/>
        <v/>
      </c>
      <c r="BZ26" s="217">
        <f>SUMPRODUCT(($CZ$4:$CZ$147='Dummy Table'!$BR26)*($CX$4:$CX$147&lt;$CY$4:$CY$147))</f>
        <v>0</v>
      </c>
      <c r="CA26" s="217">
        <f>SUMPRODUCT(($CZ$4:$CZ$147='Dummy Table'!$BR26)*($CX$4:$CX$147=$CY$4:$CY$147))</f>
        <v>142</v>
      </c>
      <c r="CB26" s="217">
        <f>SUMPRODUCT(($CZ$4:$CZ$147='Dummy Table'!$BR26)*($CX$4:$CX$147&gt;$CY$4:$CY$147))</f>
        <v>0</v>
      </c>
      <c r="CC26" s="217">
        <f>SUMIF($CZ$4:$CZ$147,'Dummy Table'!$BR26,$CY$4:$CY$147)</f>
        <v>0</v>
      </c>
      <c r="CD26" s="217">
        <f>SUMIF($CZ$4:$CZ$147,'Dummy Table'!$BR26,$CX$4:$CX$147)</f>
        <v>0</v>
      </c>
      <c r="CE26" s="217">
        <f t="shared" si="37"/>
        <v>0</v>
      </c>
      <c r="CF26" s="217" t="str">
        <f t="shared" si="38"/>
        <v/>
      </c>
      <c r="CG26" s="217">
        <f t="shared" si="39"/>
        <v>0</v>
      </c>
      <c r="CH26" s="217">
        <f t="shared" si="6"/>
        <v>284</v>
      </c>
      <c r="CI26" s="217">
        <f t="shared" si="7"/>
        <v>0</v>
      </c>
      <c r="CJ26" s="217">
        <f t="shared" si="8"/>
        <v>0</v>
      </c>
      <c r="CK26" s="217">
        <f t="shared" si="9"/>
        <v>0</v>
      </c>
      <c r="CL26" s="217">
        <f t="shared" si="10"/>
        <v>0</v>
      </c>
      <c r="CM26" s="217">
        <f t="shared" si="45"/>
        <v>-1</v>
      </c>
      <c r="CN26" s="210">
        <f t="shared" si="40"/>
        <v>88000</v>
      </c>
      <c r="CO26" s="210">
        <f>SUMIF($CZ$4:$CZ$147,'Dummy Table'!$BR26,$CY$4:$CY$147)*2</f>
        <v>0</v>
      </c>
      <c r="CP26" s="210">
        <f>RANK(CM26,CM$24:CM$27)</f>
        <v>1</v>
      </c>
      <c r="CR26" s="210">
        <f>SUMPRODUCT((CM$24:CM$27=CM26)*(CL$24:CL$27&gt;CL26))</f>
        <v>0</v>
      </c>
      <c r="CS26" s="210">
        <f>SUMPRODUCT((CP$24:CP$27=CP26)*(CR$24:CR$27=CR26)*(CO$24:CO$27&gt;CO26))</f>
        <v>0</v>
      </c>
      <c r="CT26" s="210">
        <f>IF(BR26&lt;&gt;"",SUMPRODUCT((CP$24:CP$27=CP26)*(CR$24:CR$27=CR26)*(CS$24:CS$27=CS26)*(V$24:V$27&gt;V26)),0)</f>
        <v>0</v>
      </c>
      <c r="CU26" s="210">
        <f>IF($BR26&lt;&gt;"",SUMPRODUCT((CP$24:CP$27=CP26)*(CR$24:CR$27=CR26)*(CS$24:CS$27=CS26)*(CT$24:CT$27=CT26)*(T$24:T$27&gt;T26)),0)</f>
        <v>0</v>
      </c>
      <c r="CV26" s="210">
        <f>SUMPRODUCT((CP$24:CP$27=CP26)*(CR$24:CR$27=CR26)*(CS$24:CS$27=CS26)*(CT$24:CT$27=CT26)*(CU$24:CU$27=CU26)*(CN$24:CN$27&gt;CN26))</f>
        <v>0</v>
      </c>
      <c r="CW26" s="209" t="str">
        <f>IF(AND(COUNTIF($BR$4:$BR$35,'Group Stages'!$G32)&gt;0,COUNTIF($BR$4:$BR$35,'Group Stages'!$M32)&gt;0),'Group Stages'!$G32,"")</f>
        <v/>
      </c>
      <c r="CX26" s="209" t="str">
        <f>IF($CW26&lt;&gt;"",'Group Stages'!$I32,"")</f>
        <v/>
      </c>
      <c r="CY26" s="209" t="str">
        <f>IF($CW26&lt;&gt;"",'Group Stages'!$K32,"")</f>
        <v/>
      </c>
      <c r="CZ26" s="209" t="str">
        <f>IF($CW26&lt;&gt;"",'Group Stages'!$M32,"")</f>
        <v/>
      </c>
      <c r="DA26" s="210" t="str">
        <f t="shared" si="11"/>
        <v/>
      </c>
      <c r="DB26" s="209" t="str">
        <f t="shared" si="43"/>
        <v/>
      </c>
      <c r="DC26" s="209">
        <v>3</v>
      </c>
      <c r="DD26" s="209" t="str">
        <f t="shared" si="47"/>
        <v/>
      </c>
      <c r="DE26" s="209">
        <f t="shared" ref="DE26" si="103">IF(AND(DD26="",DD25="",DD24=""),DC26,IF(AND(DD24&lt;&gt;"",DD25="",DD26=""),2,IF(AND(DD24&lt;&gt;"",DD25&lt;&gt;"",DD26=""),1,"")))</f>
        <v>2</v>
      </c>
      <c r="DF26" s="209" t="str">
        <f>VLOOKUP(DE26,$BO$24:$BP$27,2,FALSE)</f>
        <v>Standard Liège</v>
      </c>
      <c r="DG26" s="209">
        <v>3</v>
      </c>
      <c r="DH26" s="209" t="str">
        <f t="shared" ref="DH26" si="104">IF(DB26&lt;&gt;"",IF(DA26&lt;DA27,DB26,DB27),IF(DF26&lt;&gt;"",DF26,DD26))</f>
        <v>Standard Liège</v>
      </c>
      <c r="DI26" s="209">
        <v>23</v>
      </c>
    </row>
    <row r="27" spans="1:113">
      <c r="A27" s="209">
        <f t="shared" si="12"/>
        <v>4</v>
      </c>
      <c r="B27" s="209" t="str">
        <f>'Team Setup'!B28</f>
        <v>Vitória Guimarães</v>
      </c>
      <c r="C27" s="210">
        <f>SUMPRODUCT(('Group Stages'!$I$10:$I$153&lt;&gt;"")*('Group Stages'!$K$10:$K$153&lt;&gt;"")*('Group Stages'!$G$10:$G$153='Dummy Table'!$B27)*('Group Stages'!$I$10:$I$153&gt;'Group Stages'!$K$10:$K$153))</f>
        <v>0</v>
      </c>
      <c r="D27" s="210">
        <f>SUMPRODUCT(('Group Stages'!$I$10:$I$153&lt;&gt;"")*('Group Stages'!$K$10:$K$153&lt;&gt;"")*('Group Stages'!$G$10:$G$153='Dummy Table'!$B27)*('Group Stages'!$I$10:$I$153='Group Stages'!$K$10:$K$153))</f>
        <v>1</v>
      </c>
      <c r="E27" s="210">
        <f>SUMPRODUCT(('Group Stages'!$I$10:$I$153&lt;&gt;"")*('Group Stages'!$K$10:$K$153&lt;&gt;"")*('Group Stages'!$G$10:$G$153='Dummy Table'!$B27)*('Group Stages'!$I$10:$I$153&lt;'Group Stages'!$K$10:$K$153))</f>
        <v>1</v>
      </c>
      <c r="F27" s="210">
        <f>SUMIF('Group Stages'!$G$10:$G$153,'Dummy Table'!$B27,'Group Stages'!$I$10:$I$153)</f>
        <v>0</v>
      </c>
      <c r="G27" s="210">
        <f>SUMIF('Group Stages'!$G$10:$G$153,'Dummy Table'!$B27,'Group Stages'!$K$10:$K$153)</f>
        <v>0</v>
      </c>
      <c r="H27" s="210">
        <f t="shared" si="13"/>
        <v>0</v>
      </c>
      <c r="I27" s="210">
        <f t="shared" si="14"/>
        <v>1</v>
      </c>
      <c r="J27" s="209">
        <f>SUMPRODUCT(('Group Stages'!$I$10:$I$153&lt;&gt;"")*('Group Stages'!$K$10:$K$153&lt;&gt;"")*('Group Stages'!$M$10:$M$153='Dummy Table'!$B27)*('Group Stages'!$I$10:$I$153&lt;'Group Stages'!$K$10:$K$153))</f>
        <v>0</v>
      </c>
      <c r="K27" s="209">
        <f>SUMPRODUCT(('Group Stages'!$I$10:$I$153&lt;&gt;"")*('Group Stages'!$K$10:$K$153&lt;&gt;"")*('Group Stages'!$M$10:$M$153='Dummy Table'!$B27)*('Group Stages'!$I$10:$I$153='Group Stages'!$K$10:$K$153))</f>
        <v>0</v>
      </c>
      <c r="L27" s="209">
        <f>SUMPRODUCT(('Group Stages'!$I$10:$I$153&lt;&gt;"")*('Group Stages'!$K$10:$K$153&lt;&gt;"")*('Group Stages'!$M$10:$M$153='Dummy Table'!$B27)*('Group Stages'!$I$10:$I$153&gt;'Group Stages'!$K$10:$K$153))</f>
        <v>2</v>
      </c>
      <c r="M27" s="209">
        <f>SUMIF('Group Stages'!$M$10:$M$153,'Dummy Table'!$B27,'Group Stages'!$K$10:$K$153)</f>
        <v>0</v>
      </c>
      <c r="N27" s="209">
        <f>SUMIF('Group Stages'!$M$10:$M$153,'Dummy Table'!$B27,'Group Stages'!$I$10:$I$153)</f>
        <v>0</v>
      </c>
      <c r="O27" s="209">
        <f t="shared" si="15"/>
        <v>0</v>
      </c>
      <c r="P27" s="209">
        <f t="shared" si="16"/>
        <v>0</v>
      </c>
      <c r="Q27" s="209">
        <f t="shared" si="17"/>
        <v>0</v>
      </c>
      <c r="R27" s="209">
        <f t="shared" si="18"/>
        <v>1</v>
      </c>
      <c r="S27" s="209">
        <f t="shared" si="19"/>
        <v>3</v>
      </c>
      <c r="T27" s="209">
        <f t="shared" si="20"/>
        <v>0</v>
      </c>
      <c r="U27" s="209">
        <f t="shared" si="21"/>
        <v>0</v>
      </c>
      <c r="V27" s="209">
        <f t="shared" si="22"/>
        <v>0</v>
      </c>
      <c r="W27" s="209">
        <f t="shared" si="23"/>
        <v>1</v>
      </c>
      <c r="X27" s="210">
        <f>IF('Team Setup'!F28&lt;&gt;"",'Team Setup'!F28,DI27)</f>
        <v>6000</v>
      </c>
      <c r="Y27" s="210">
        <f>RANK(W27,W$24:W$27)</f>
        <v>4</v>
      </c>
      <c r="Z27" s="210">
        <f>SUMPRODUCT((W$24:W$27=W27)*(V$24:V$27&gt;V27))</f>
        <v>0</v>
      </c>
      <c r="AA27" s="210">
        <f>SUMPRODUCT((Y$24:Y$27=Y27)*(Z$24:Z$27=Z27)*(T$24:T$27&gt;T27))</f>
        <v>0</v>
      </c>
      <c r="AB27" s="210">
        <f>SUMPRODUCT((Y$24:Y$27=Y27)*(Z$24:Z$27=Z27)*(T$24:T$27=T27)*(X$24:X$27&gt;X27))</f>
        <v>0</v>
      </c>
      <c r="AC27" s="209">
        <v>4</v>
      </c>
      <c r="AD27" s="209" t="str">
        <f>VLOOKUP(AC27,$A$24:$B$27,2,FALSE)</f>
        <v>Vitória Guimarães</v>
      </c>
      <c r="AE27" s="209">
        <f>VLOOKUP($AD27,$B$24:$W$27,22,FALSE)</f>
        <v>1</v>
      </c>
      <c r="AF27" s="209" t="str">
        <f t="shared" ref="AF27" si="105">IF(AND(AE27=AE26,AE26=AE25),AD27,"")</f>
        <v/>
      </c>
      <c r="AG27" s="210">
        <f>SUMPRODUCT(($BK$4:$BK$147='Dummy Table'!$AF27)*($BL$4:$BL$147&gt;$BM$4:$BM$147))</f>
        <v>0</v>
      </c>
      <c r="AH27" s="210">
        <f>SUMPRODUCT(($BK$4:$BK$147='Dummy Table'!$AF27)*($BL$4:$BL$147=$BM$4:$BM$147))</f>
        <v>134</v>
      </c>
      <c r="AI27" s="210">
        <f>SUMPRODUCT(($BK$4:$BK$147='Dummy Table'!$AF27)*($BL$4:$BL$147&lt;$BM$4:$BM$147))</f>
        <v>0</v>
      </c>
      <c r="AJ27" s="210">
        <f>SUMIF($BK$4:$BK$147,'Dummy Table'!$AF27,$BL$4:$BL$147)</f>
        <v>0</v>
      </c>
      <c r="AK27" s="210">
        <f>SUMIF($BK$4:$BK$147,'Dummy Table'!$AF27,$BM$4:$BM$147)</f>
        <v>0</v>
      </c>
      <c r="AL27" s="210">
        <f t="shared" si="24"/>
        <v>0</v>
      </c>
      <c r="AM27" s="210" t="str">
        <f t="shared" si="25"/>
        <v/>
      </c>
      <c r="AN27" s="210">
        <f>SUMPRODUCT(($BN$4:$BN$147='Dummy Table'!$AF27)*($BL$4:$BL$147&lt;$BM$4:$BM$147))</f>
        <v>0</v>
      </c>
      <c r="AO27" s="210">
        <f>SUMPRODUCT(($BN$4:$BN$147='Dummy Table'!$AF27)*($BL$4:$BL$147=$BM$4:$BM$147))</f>
        <v>134</v>
      </c>
      <c r="AP27" s="210">
        <f>SUMPRODUCT(($BN$4:$BN$147='Dummy Table'!$AF27)*($BL$4:$BL$147&gt;$BM$4:$BM$147))</f>
        <v>0</v>
      </c>
      <c r="AQ27" s="210">
        <f>SUMIF($BN$4:$BN$147,'Dummy Table'!$AF27,$BM$4:$BM$147)</f>
        <v>0</v>
      </c>
      <c r="AR27" s="210">
        <f>SUMIF($BN$4:$BN$147,'Dummy Table'!$AF27,$BL$4:$BL$147)</f>
        <v>0</v>
      </c>
      <c r="AS27" s="210">
        <f t="shared" si="26"/>
        <v>0</v>
      </c>
      <c r="AT27" s="210" t="str">
        <f t="shared" si="27"/>
        <v/>
      </c>
      <c r="AU27" s="210">
        <f t="shared" si="28"/>
        <v>0</v>
      </c>
      <c r="AV27" s="210">
        <f t="shared" si="29"/>
        <v>268</v>
      </c>
      <c r="AW27" s="210">
        <f t="shared" si="30"/>
        <v>0</v>
      </c>
      <c r="AX27" s="210">
        <f t="shared" si="31"/>
        <v>0</v>
      </c>
      <c r="AY27" s="210">
        <f t="shared" si="32"/>
        <v>0</v>
      </c>
      <c r="AZ27" s="210">
        <f t="shared" si="33"/>
        <v>0</v>
      </c>
      <c r="BA27" s="210">
        <f t="shared" si="44"/>
        <v>-1</v>
      </c>
      <c r="BB27" s="209" t="str">
        <f t="shared" si="2"/>
        <v/>
      </c>
      <c r="BC27" s="209" t="str">
        <f t="shared" si="3"/>
        <v/>
      </c>
      <c r="BD27" s="209" t="str">
        <f t="shared" si="4"/>
        <v/>
      </c>
      <c r="BE27" s="209">
        <f>RANK(BA27,BA$24:BA$27)</f>
        <v>3</v>
      </c>
      <c r="BF27" s="209">
        <f>SUMPRODUCT((BA$24:BA$27=BA27)*(AZ$24:AZ$27&gt;AZ27))</f>
        <v>0</v>
      </c>
      <c r="BG27" s="209">
        <f>SUMPRODUCT((BA$24:BA$27=BA27)*(BE$24:BE$27=BE27)*(AZ$24:AZ$27=AZ27)*(AQ$24:AQ$27&gt;AQ27))</f>
        <v>0</v>
      </c>
      <c r="BH27" s="209">
        <f>SUMPRODUCT((BA$24:BA$27=BA27)*(BE$24:BE$27=BE27)*(AZ$24:AZ$27=AZ27)*(AQ$24:AQ$27=AQ27)*(BB$24:BB$27&gt;BB27))</f>
        <v>0</v>
      </c>
      <c r="BI27" s="209">
        <f>SUMPRODUCT((BA$24:BA$27=BA27)*(BE$24:BE$27=BE27)*(AZ$24:AZ$27=AZ27)*(AQ$24:AQ$27=AQ27)*(BB$24:BB$27=BB27)*(BC$24:BC$27&gt;BC27))</f>
        <v>0</v>
      </c>
      <c r="BJ27" s="209">
        <f>SUMPRODUCT((BA$24:BA$27=BA27)*(BE$24:BE$27=BE27)*(AZ$24:AZ$27=AZ27)*(AQ$24:AQ$27=AQ27)*(BB$24:BB$27=BB27)*(BC$24:BC$27=BC27)*(BD$24:BD$27&gt;BD27))</f>
        <v>0</v>
      </c>
      <c r="BK27" s="209" t="str">
        <f>IF(AND(COUNTIF($AF$4:$AF$35,'Group Stages'!G33)&gt;0,COUNTIF($AF$4:$AF$35,'Group Stages'!M33)&gt;0,'Group Stages'!I33&lt;&gt;"",'Group Stages'!K33&lt;&gt;""),'Group Stages'!G33,"")</f>
        <v/>
      </c>
      <c r="BL27" s="209" t="str">
        <f>IF($BK27&lt;&gt;"",'Group Stages'!I33,"")</f>
        <v/>
      </c>
      <c r="BM27" s="209" t="str">
        <f>IF($BK27&lt;&gt;"",'Group Stages'!K33,"")</f>
        <v/>
      </c>
      <c r="BN27" s="209" t="str">
        <f>IF($BK27&lt;&gt;"",'Group Stages'!M33,"")</f>
        <v/>
      </c>
      <c r="BO27" s="209" t="str">
        <f t="shared" si="5"/>
        <v/>
      </c>
      <c r="BP27" s="209" t="str">
        <f t="shared" si="34"/>
        <v/>
      </c>
      <c r="BQ27" s="209">
        <f>VLOOKUP($AD27,$B$24:$W$27,22,FALSE)</f>
        <v>1</v>
      </c>
      <c r="BR27" s="209" t="str">
        <f t="shared" ref="BR27" si="106">IF(BR26&lt;&gt;"",AD27,"")</f>
        <v/>
      </c>
      <c r="BS27" s="217">
        <f>SUMPRODUCT(($CW$4:$CW$147='Dummy Table'!$BR27)*($CX$4:$CX$147&gt;$CY$4:$CY$147))</f>
        <v>0</v>
      </c>
      <c r="BT27" s="217">
        <f>SUMPRODUCT(($CW$4:$CW$147='Dummy Table'!$BR27)*($CX$4:$CX$147=$CY$4:$CY$147))</f>
        <v>142</v>
      </c>
      <c r="BU27" s="217">
        <f>SUMPRODUCT(($CW$4:$CW$147='Dummy Table'!$BR27)*($CX$4:$CX$147&lt;$CY$4:$CY$147))</f>
        <v>0</v>
      </c>
      <c r="BV27" s="217">
        <f>SUMIF($CW$4:$CW$147,'Dummy Table'!$BR27,$CX$4:$CX$147)</f>
        <v>0</v>
      </c>
      <c r="BW27" s="217">
        <f>SUMIF($CW$4:$CW$147,'Dummy Table'!$BR27,$CY$4:$CY$147)</f>
        <v>0</v>
      </c>
      <c r="BX27" s="217">
        <f t="shared" si="35"/>
        <v>0</v>
      </c>
      <c r="BY27" s="217" t="str">
        <f t="shared" si="36"/>
        <v/>
      </c>
      <c r="BZ27" s="217">
        <f>SUMPRODUCT(($CZ$4:$CZ$147='Dummy Table'!$BR27)*($CX$4:$CX$147&lt;$CY$4:$CY$147))</f>
        <v>0</v>
      </c>
      <c r="CA27" s="217">
        <f>SUMPRODUCT(($CZ$4:$CZ$147='Dummy Table'!$BR27)*($CX$4:$CX$147=$CY$4:$CY$147))</f>
        <v>142</v>
      </c>
      <c r="CB27" s="217">
        <f>SUMPRODUCT(($CZ$4:$CZ$147='Dummy Table'!$BR27)*($CX$4:$CX$147&gt;$CY$4:$CY$147))</f>
        <v>0</v>
      </c>
      <c r="CC27" s="217">
        <f>SUMIF($CZ$4:$CZ$147,'Dummy Table'!$BR27,$CY$4:$CY$147)</f>
        <v>0</v>
      </c>
      <c r="CD27" s="217">
        <f>SUMIF($CZ$4:$CZ$147,'Dummy Table'!$BR27,$CX$4:$CX$147)</f>
        <v>0</v>
      </c>
      <c r="CE27" s="217">
        <f t="shared" si="37"/>
        <v>0</v>
      </c>
      <c r="CF27" s="217" t="str">
        <f t="shared" si="38"/>
        <v/>
      </c>
      <c r="CG27" s="217">
        <f t="shared" si="39"/>
        <v>0</v>
      </c>
      <c r="CH27" s="217">
        <f t="shared" si="6"/>
        <v>284</v>
      </c>
      <c r="CI27" s="217">
        <f t="shared" si="7"/>
        <v>0</v>
      </c>
      <c r="CJ27" s="217">
        <f t="shared" si="8"/>
        <v>0</v>
      </c>
      <c r="CK27" s="217">
        <f t="shared" si="9"/>
        <v>0</v>
      </c>
      <c r="CL27" s="217">
        <f t="shared" si="10"/>
        <v>0</v>
      </c>
      <c r="CM27" s="217">
        <f t="shared" si="45"/>
        <v>-1</v>
      </c>
      <c r="CN27" s="210">
        <f t="shared" si="40"/>
        <v>6000</v>
      </c>
      <c r="CO27" s="210">
        <f>SUMIF($CZ$4:$CZ$147,'Dummy Table'!$BR27,$CY$4:$CY$147)*2</f>
        <v>0</v>
      </c>
      <c r="CP27" s="210">
        <f>RANK(CM27,CM$24:CM$27)</f>
        <v>1</v>
      </c>
      <c r="CR27" s="210">
        <f>SUMPRODUCT((CM$24:CM$27=CM27)*(CL$24:CL$27&gt;CL27))</f>
        <v>0</v>
      </c>
      <c r="CS27" s="210">
        <f>SUMPRODUCT((CP$24:CP$27=CP27)*(CR$24:CR$27=CR27)*(CO$24:CO$27&gt;CO27))</f>
        <v>0</v>
      </c>
      <c r="CT27" s="210">
        <f>IF(BR27&lt;&gt;"",SUMPRODUCT((CP$24:CP$27=CP27)*(CR$24:CR$27=CR27)*(CS$24:CS$27=CS27)*(V$24:V$27&gt;V27)),0)</f>
        <v>0</v>
      </c>
      <c r="CU27" s="210">
        <f>IF($BR27&lt;&gt;"",SUMPRODUCT((CP$24:CP$27=CP27)*(CR$24:CR$27=CR27)*(CS$24:CS$27=CS27)*(CT$24:CT$27=CT27)*(T$24:T$27&gt;T27)),0)</f>
        <v>0</v>
      </c>
      <c r="CV27" s="210">
        <f>SUMPRODUCT((CP$24:CP$27=CP27)*(CR$24:CR$27=CR27)*(CS$24:CS$27=CS27)*(CT$24:CT$27=CT27)*(CU$24:CU$27=CU27)*(CN$24:CN$27&gt;CN27))</f>
        <v>3</v>
      </c>
      <c r="CW27" s="209" t="str">
        <f>IF(AND(COUNTIF($BR$4:$BR$35,'Group Stages'!$G33)&gt;0,COUNTIF($BR$4:$BR$35,'Group Stages'!$M33)&gt;0),'Group Stages'!$G33,"")</f>
        <v/>
      </c>
      <c r="CX27" s="209" t="str">
        <f>IF($CW27&lt;&gt;"",'Group Stages'!$I33,"")</f>
        <v/>
      </c>
      <c r="CY27" s="209" t="str">
        <f>IF($CW27&lt;&gt;"",'Group Stages'!$K33,"")</f>
        <v/>
      </c>
      <c r="CZ27" s="209" t="str">
        <f>IF($CW27&lt;&gt;"",'Group Stages'!$M33,"")</f>
        <v/>
      </c>
      <c r="DA27" s="210" t="str">
        <f t="shared" si="11"/>
        <v/>
      </c>
      <c r="DB27" s="209" t="str">
        <f t="shared" si="43"/>
        <v/>
      </c>
      <c r="DC27" s="209">
        <v>4</v>
      </c>
      <c r="DD27" s="209" t="str">
        <f t="shared" si="47"/>
        <v>Vitória Guimarães</v>
      </c>
      <c r="DE27" s="209" t="str">
        <f t="shared" ref="DE27" si="107">IF(AND(DD27="",DD26="",DD25="",DD24=""),4,IF(AND(DD27="",DD26="",DD25=""),3,IF(AND(DD25&lt;&gt;"",DD26="",DD27=""),2,IF(AND(DD25&lt;&gt;"",DD26&lt;&gt;"",DD27=""),1,""))))</f>
        <v/>
      </c>
      <c r="DF27" s="209" t="str">
        <f>VLOOKUP(DE27,$BO$24:$BP$27,2,FALSE)</f>
        <v/>
      </c>
      <c r="DG27" s="209">
        <v>4</v>
      </c>
      <c r="DH27" s="209" t="str">
        <f t="shared" ref="DH27" si="108">IF(DB27&lt;&gt;"",IF(DA26&lt;DA27,DB27,DB26),IF(DF27&lt;&gt;"",DF27,DD27))</f>
        <v>Vitória Guimarães</v>
      </c>
      <c r="DI27" s="209">
        <v>24</v>
      </c>
    </row>
    <row r="28" spans="1:113">
      <c r="A28" s="209">
        <f t="shared" si="12"/>
        <v>3</v>
      </c>
      <c r="B28" s="209" t="str">
        <f>'Team Setup'!B29</f>
        <v>FC Porto</v>
      </c>
      <c r="C28" s="210">
        <f>SUMPRODUCT(('Group Stages'!$I$10:$I$153&lt;&gt;"")*('Group Stages'!$K$10:$K$153&lt;&gt;"")*('Group Stages'!$G$10:$G$153='Dummy Table'!$B28)*('Group Stages'!$I$10:$I$153&gt;'Group Stages'!$K$10:$K$153))</f>
        <v>1</v>
      </c>
      <c r="D28" s="210">
        <f>SUMPRODUCT(('Group Stages'!$I$10:$I$153&lt;&gt;"")*('Group Stages'!$K$10:$K$153&lt;&gt;"")*('Group Stages'!$G$10:$G$153='Dummy Table'!$B28)*('Group Stages'!$I$10:$I$153='Group Stages'!$K$10:$K$153))</f>
        <v>1</v>
      </c>
      <c r="E28" s="210">
        <f>SUMPRODUCT(('Group Stages'!$I$10:$I$153&lt;&gt;"")*('Group Stages'!$K$10:$K$153&lt;&gt;"")*('Group Stages'!$G$10:$G$153='Dummy Table'!$B28)*('Group Stages'!$I$10:$I$153&lt;'Group Stages'!$K$10:$K$153))</f>
        <v>0</v>
      </c>
      <c r="F28" s="210">
        <f>SUMIF('Group Stages'!$G$10:$G$153,'Dummy Table'!$B28,'Group Stages'!$I$10:$I$153)</f>
        <v>0</v>
      </c>
      <c r="G28" s="210">
        <f>SUMIF('Group Stages'!$G$10:$G$153,'Dummy Table'!$B28,'Group Stages'!$K$10:$K$153)</f>
        <v>0</v>
      </c>
      <c r="H28" s="210">
        <f t="shared" si="13"/>
        <v>0</v>
      </c>
      <c r="I28" s="210">
        <f t="shared" si="14"/>
        <v>4</v>
      </c>
      <c r="J28" s="209">
        <f>SUMPRODUCT(('Group Stages'!$I$10:$I$153&lt;&gt;"")*('Group Stages'!$K$10:$K$153&lt;&gt;"")*('Group Stages'!$M$10:$M$153='Dummy Table'!$B28)*('Group Stages'!$I$10:$I$153&lt;'Group Stages'!$K$10:$K$153))</f>
        <v>0</v>
      </c>
      <c r="K28" s="209">
        <f>SUMPRODUCT(('Group Stages'!$I$10:$I$153&lt;&gt;"")*('Group Stages'!$K$10:$K$153&lt;&gt;"")*('Group Stages'!$M$10:$M$153='Dummy Table'!$B28)*('Group Stages'!$I$10:$I$153='Group Stages'!$K$10:$K$153))</f>
        <v>0</v>
      </c>
      <c r="L28" s="209">
        <f>SUMPRODUCT(('Group Stages'!$I$10:$I$153&lt;&gt;"")*('Group Stages'!$K$10:$K$153&lt;&gt;"")*('Group Stages'!$M$10:$M$153='Dummy Table'!$B28)*('Group Stages'!$I$10:$I$153&gt;'Group Stages'!$K$10:$K$153))</f>
        <v>2</v>
      </c>
      <c r="M28" s="209">
        <f>SUMIF('Group Stages'!$M$10:$M$153,'Dummy Table'!$B28,'Group Stages'!$K$10:$K$153)</f>
        <v>0</v>
      </c>
      <c r="N28" s="209">
        <f>SUMIF('Group Stages'!$M$10:$M$153,'Dummy Table'!$B28,'Group Stages'!$I$10:$I$153)</f>
        <v>0</v>
      </c>
      <c r="O28" s="209">
        <f t="shared" si="15"/>
        <v>0</v>
      </c>
      <c r="P28" s="209">
        <f t="shared" si="16"/>
        <v>0</v>
      </c>
      <c r="Q28" s="209">
        <f t="shared" si="17"/>
        <v>1</v>
      </c>
      <c r="R28" s="209">
        <f t="shared" si="18"/>
        <v>1</v>
      </c>
      <c r="S28" s="209">
        <f t="shared" si="19"/>
        <v>2</v>
      </c>
      <c r="T28" s="209">
        <f t="shared" si="20"/>
        <v>0</v>
      </c>
      <c r="U28" s="209">
        <f t="shared" si="21"/>
        <v>0</v>
      </c>
      <c r="V28" s="209">
        <f t="shared" si="22"/>
        <v>0</v>
      </c>
      <c r="W28" s="209">
        <f t="shared" si="23"/>
        <v>4</v>
      </c>
      <c r="X28" s="210">
        <f>IF('Team Setup'!F29&lt;&gt;"",'Team Setup'!F29,DI28)</f>
        <v>71000</v>
      </c>
      <c r="Y28" s="210">
        <f>RANK(W28,W$28:W$31)</f>
        <v>3</v>
      </c>
      <c r="Z28" s="210">
        <f>SUMPRODUCT((W$28:W$31=W28)*(V$28:V$31&gt;V28))</f>
        <v>0</v>
      </c>
      <c r="AA28" s="210">
        <f>SUMPRODUCT((Y$28:Y$31=Y28)*(Z$28:Z$31=Z28)*(T$28:T$31&gt;T28))</f>
        <v>0</v>
      </c>
      <c r="AB28" s="210">
        <f>SUMPRODUCT((Y$28:Y$31=Y28)*(Z$28:Z$31=Z28)*(T$28:T$31=T28)*(X$28:X$31&gt;X28))</f>
        <v>0</v>
      </c>
      <c r="AC28" s="209">
        <v>1</v>
      </c>
      <c r="AD28" s="209" t="str">
        <f>VLOOKUP(AC28,$A$28:$B$31,2,FALSE)</f>
        <v>BSC Young Boys</v>
      </c>
      <c r="AE28" s="209">
        <f>VLOOKUP($AD28,$B$28:$W$31,22,FALSE)</f>
        <v>7</v>
      </c>
      <c r="AF28" s="209" t="str">
        <f t="shared" ref="AF28" si="109">IF(AE28=AE29,AD28,"")</f>
        <v>BSC Young Boys</v>
      </c>
      <c r="AG28" s="210">
        <f>SUMPRODUCT(($BK$4:$BK$147='Dummy Table'!$AF28)*($BL$4:$BL$147&gt;$BM$4:$BM$147))</f>
        <v>1</v>
      </c>
      <c r="AH28" s="210">
        <f>SUMPRODUCT(($BK$4:$BK$147='Dummy Table'!$AF28)*($BL$4:$BL$147=$BM$4:$BM$147))</f>
        <v>0</v>
      </c>
      <c r="AI28" s="210">
        <f>SUMPRODUCT(($BK$4:$BK$147='Dummy Table'!$AF28)*($BL$4:$BL$147&lt;$BM$4:$BM$147))</f>
        <v>0</v>
      </c>
      <c r="AJ28" s="210">
        <f>SUMIF($BK$4:$BK$147,'Dummy Table'!$AF28,$BL$4:$BL$147)</f>
        <v>0</v>
      </c>
      <c r="AK28" s="210">
        <f>SUMIF($BK$4:$BK$147,'Dummy Table'!$AF28,$BM$4:$BM$147)</f>
        <v>0</v>
      </c>
      <c r="AL28" s="210">
        <f t="shared" si="24"/>
        <v>0</v>
      </c>
      <c r="AM28" s="210">
        <f t="shared" si="25"/>
        <v>3</v>
      </c>
      <c r="AN28" s="210">
        <f>SUMPRODUCT(($BN$4:$BN$147='Dummy Table'!$AF28)*($BL$4:$BL$147&lt;$BM$4:$BM$147))</f>
        <v>0</v>
      </c>
      <c r="AO28" s="210">
        <f>SUMPRODUCT(($BN$4:$BN$147='Dummy Table'!$AF28)*($BL$4:$BL$147=$BM$4:$BM$147))</f>
        <v>0</v>
      </c>
      <c r="AP28" s="210">
        <f>SUMPRODUCT(($BN$4:$BN$147='Dummy Table'!$AF28)*($BL$4:$BL$147&gt;$BM$4:$BM$147))</f>
        <v>0</v>
      </c>
      <c r="AQ28" s="210">
        <f>SUMIF($BN$4:$BN$147,'Dummy Table'!$AF28,$BM$4:$BM$147)</f>
        <v>0</v>
      </c>
      <c r="AR28" s="210">
        <f>SUMIF($BN$4:$BN$147,'Dummy Table'!$AF28,$BL$4:$BL$147)</f>
        <v>0</v>
      </c>
      <c r="AS28" s="210">
        <f t="shared" si="26"/>
        <v>0</v>
      </c>
      <c r="AT28" s="210">
        <f t="shared" si="27"/>
        <v>0</v>
      </c>
      <c r="AU28" s="210">
        <f t="shared" si="28"/>
        <v>1</v>
      </c>
      <c r="AV28" s="210">
        <f t="shared" si="29"/>
        <v>0</v>
      </c>
      <c r="AW28" s="210">
        <f t="shared" si="30"/>
        <v>0</v>
      </c>
      <c r="AX28" s="210">
        <f t="shared" si="31"/>
        <v>0</v>
      </c>
      <c r="AY28" s="210">
        <f t="shared" si="32"/>
        <v>0</v>
      </c>
      <c r="AZ28" s="210">
        <f t="shared" si="33"/>
        <v>0</v>
      </c>
      <c r="BA28" s="210">
        <f t="shared" si="44"/>
        <v>3</v>
      </c>
      <c r="BB28" s="209">
        <f t="shared" si="2"/>
        <v>0</v>
      </c>
      <c r="BC28" s="209">
        <f t="shared" si="3"/>
        <v>0</v>
      </c>
      <c r="BD28" s="209">
        <f t="shared" si="4"/>
        <v>24500</v>
      </c>
      <c r="BE28" s="209">
        <f>RANK(BA28,BA$28:BA$31)</f>
        <v>1</v>
      </c>
      <c r="BF28" s="209">
        <f>SUMPRODUCT((BA$28:BA$31=BA28)*(AZ$28:AZ$31&gt;AZ28))</f>
        <v>0</v>
      </c>
      <c r="BG28" s="209">
        <f>SUMPRODUCT((BA$28:BA$31=BA28)*(BE$28:BE$31=BE28)*(AZ$28:AZ$31=AZ28)*(AQ$28:AQ$31&gt;AQ28))</f>
        <v>0</v>
      </c>
      <c r="BH28" s="209">
        <f>SUMPRODUCT((BA$28:BA$31=BA28)*(BE$28:BE$31=BE28)*(AZ$28:AZ$31=AZ28)*(AQ$28:AQ$31=AQ28)*(BB$28:BB$31&gt;BB28))</f>
        <v>0</v>
      </c>
      <c r="BI28" s="209">
        <f>SUMPRODUCT((BA$28:BA$31=BA28)*(BE$28:BE$31=BE28)*(AZ$28:AZ$31=AZ28)*(AQ$28:AQ$31=AQ28)*(BB$28:BB$31=BB28)*(BC$28:BC$31&gt;BC28))</f>
        <v>0</v>
      </c>
      <c r="BJ28" s="209">
        <f>SUMPRODUCT((BA$28:BA$31=BA28)*(BE$28:BE$31=BE28)*(AZ$28:AZ$31=AZ28)*(AQ$28:AQ$31=AQ28)*(BB$28:BB$31=BB28)*(BC$28:BC$31=BC28)*(BD$28:BD$31&gt;BD28))</f>
        <v>0</v>
      </c>
      <c r="BK28" s="209" t="str">
        <f>IF(AND(COUNTIF($AF$4:$AF$35,'Group Stages'!G34)&gt;0,COUNTIF($AF$4:$AF$35,'Group Stages'!M34)&gt;0,'Group Stages'!I34&lt;&gt;"",'Group Stages'!K34&lt;&gt;""),'Group Stages'!G34,"")</f>
        <v/>
      </c>
      <c r="BL28" s="209" t="str">
        <f>IF($BK28&lt;&gt;"",'Group Stages'!I34,"")</f>
        <v/>
      </c>
      <c r="BM28" s="209" t="str">
        <f>IF($BK28&lt;&gt;"",'Group Stages'!K34,"")</f>
        <v/>
      </c>
      <c r="BN28" s="209" t="str">
        <f>IF($BK28&lt;&gt;"",'Group Stages'!M34,"")</f>
        <v/>
      </c>
      <c r="BO28" s="209">
        <f t="shared" si="5"/>
        <v>1</v>
      </c>
      <c r="BP28" s="209" t="str">
        <f t="shared" si="34"/>
        <v>BSC Young Boys</v>
      </c>
      <c r="BQ28" s="209">
        <f>VLOOKUP($AD28,$B$28:$W$31,22,FALSE)</f>
        <v>7</v>
      </c>
      <c r="BS28" s="217">
        <f>SUMPRODUCT(($CW$4:$CW$147='Dummy Table'!$BR28)*($CX$4:$CX$147&gt;$CY$4:$CY$147))</f>
        <v>0</v>
      </c>
      <c r="BT28" s="217">
        <f>SUMPRODUCT(($CW$4:$CW$147='Dummy Table'!$BR28)*($CX$4:$CX$147=$CY$4:$CY$147))</f>
        <v>142</v>
      </c>
      <c r="BU28" s="217">
        <f>SUMPRODUCT(($CW$4:$CW$147='Dummy Table'!$BR28)*($CX$4:$CX$147&lt;$CY$4:$CY$147))</f>
        <v>0</v>
      </c>
      <c r="BV28" s="217">
        <f>SUMIF($CW$4:$CW$147,'Dummy Table'!$BR28,$CX$4:$CX$147)</f>
        <v>0</v>
      </c>
      <c r="BW28" s="217">
        <f>SUMIF($CW$4:$CW$147,'Dummy Table'!$BR28,$CY$4:$CY$147)</f>
        <v>0</v>
      </c>
      <c r="BX28" s="217">
        <f t="shared" si="35"/>
        <v>0</v>
      </c>
      <c r="BY28" s="217" t="str">
        <f t="shared" si="36"/>
        <v/>
      </c>
      <c r="BZ28" s="217">
        <f>SUMPRODUCT(($CZ$4:$CZ$147='Dummy Table'!$BR28)*($CX$4:$CX$147&lt;$CY$4:$CY$147))</f>
        <v>0</v>
      </c>
      <c r="CA28" s="217">
        <f>SUMPRODUCT(($CZ$4:$CZ$147='Dummy Table'!$BR28)*($CX$4:$CX$147=$CY$4:$CY$147))</f>
        <v>142</v>
      </c>
      <c r="CB28" s="217">
        <f>SUMPRODUCT(($CZ$4:$CZ$147='Dummy Table'!$BR28)*($CX$4:$CX$147&gt;$CY$4:$CY$147))</f>
        <v>0</v>
      </c>
      <c r="CC28" s="217">
        <f>SUMIF($CZ$4:$CZ$147,'Dummy Table'!$BR28,$CY$4:$CY$147)</f>
        <v>0</v>
      </c>
      <c r="CD28" s="217">
        <f>SUMIF($CZ$4:$CZ$147,'Dummy Table'!$BR28,$CX$4:$CX$147)</f>
        <v>0</v>
      </c>
      <c r="CE28" s="217">
        <f t="shared" si="37"/>
        <v>0</v>
      </c>
      <c r="CF28" s="217" t="str">
        <f t="shared" si="38"/>
        <v/>
      </c>
      <c r="CG28" s="217">
        <f t="shared" si="39"/>
        <v>0</v>
      </c>
      <c r="CH28" s="217">
        <f t="shared" si="6"/>
        <v>284</v>
      </c>
      <c r="CI28" s="217">
        <f t="shared" si="7"/>
        <v>0</v>
      </c>
      <c r="CJ28" s="217">
        <f t="shared" si="8"/>
        <v>0</v>
      </c>
      <c r="CK28" s="217">
        <f t="shared" si="9"/>
        <v>0</v>
      </c>
      <c r="CL28" s="217">
        <f t="shared" si="10"/>
        <v>0</v>
      </c>
      <c r="CM28" s="217">
        <f t="shared" si="45"/>
        <v>-1</v>
      </c>
      <c r="CN28" s="210">
        <f t="shared" si="40"/>
        <v>71000</v>
      </c>
      <c r="CO28" s="210">
        <f>SUMIF($CZ$4:$CZ$147,'Dummy Table'!$BR28,$CY$4:$CY$147)*2</f>
        <v>0</v>
      </c>
      <c r="CP28" s="210">
        <f>RANK(CM28,CM$28:CM$31)</f>
        <v>3</v>
      </c>
      <c r="CR28" s="210">
        <f>SUMPRODUCT((CM$28:CM$31=CM28)*(CL$28:CL$31&gt;CL28))</f>
        <v>0</v>
      </c>
      <c r="CS28" s="210">
        <f>SUMPRODUCT((CP$28:CP$31=CP28)*(CR$28:CR$31=CR28)*(CO$28:CO$31&gt;CO28))</f>
        <v>0</v>
      </c>
      <c r="CT28" s="210">
        <f>IF(BR28&lt;&gt;"",SUMPRODUCT((CP$28:CP$31=CP28)*(CR$28:CR$31=CR28)*(CS$28:CS$31=CS28)*(V$28:V$31&gt;V28)),0)</f>
        <v>0</v>
      </c>
      <c r="CU28" s="210">
        <f>IF($BR28&lt;&gt;"",SUMPRODUCT((CP$28:CP$31=CP28)*(CR$28:CR$31=CR28)*(CS$28:CS$31=CS28)*(CT$28:CT$31=CT28)*(T$28:T$31&gt;T28)),0)</f>
        <v>0</v>
      </c>
      <c r="CV28" s="210">
        <f>SUMPRODUCT((CP$28:CP$31=CP28)*(CR$28:CR$31=CR28)*(CS$28:CS$31=CS28)*(CT$28:CT$31=CT28)*(CU$28:CU$31=CU28)*(CN$28:CN$31&gt;CN28))</f>
        <v>0</v>
      </c>
      <c r="CW28" s="209" t="str">
        <f>IF(AND(COUNTIF($BR$4:$BR$35,'Group Stages'!$G34)&gt;0,COUNTIF($BR$4:$BR$35,'Group Stages'!$M34)&gt;0),'Group Stages'!$G34,"")</f>
        <v/>
      </c>
      <c r="CX28" s="209" t="str">
        <f>IF($CW28&lt;&gt;"",'Group Stages'!$I34,"")</f>
        <v/>
      </c>
      <c r="CY28" s="209" t="str">
        <f>IF($CW28&lt;&gt;"",'Group Stages'!$K34,"")</f>
        <v/>
      </c>
      <c r="CZ28" s="209" t="str">
        <f>IF($CW28&lt;&gt;"",'Group Stages'!$M34,"")</f>
        <v/>
      </c>
      <c r="DA28" s="210" t="str">
        <f t="shared" si="11"/>
        <v/>
      </c>
      <c r="DB28" s="209" t="str">
        <f t="shared" si="43"/>
        <v/>
      </c>
      <c r="DC28" s="209">
        <v>1</v>
      </c>
      <c r="DD28" s="209" t="str">
        <f t="shared" si="47"/>
        <v/>
      </c>
      <c r="DE28" s="209">
        <f t="shared" ref="DE28" si="110">IF(DD28="",DC28,"")</f>
        <v>1</v>
      </c>
      <c r="DF28" s="209" t="str">
        <f>VLOOKUP(DE28,$BO$28:$BP$31,2,FALSE)</f>
        <v>BSC Young Boys</v>
      </c>
      <c r="DG28" s="209">
        <v>1</v>
      </c>
      <c r="DH28" s="209" t="str">
        <f t="shared" ref="DH28:DH29" si="111">IF(DD28="",DF28,DD28)</f>
        <v>BSC Young Boys</v>
      </c>
      <c r="DI28" s="209">
        <v>25</v>
      </c>
    </row>
    <row r="29" spans="1:113">
      <c r="A29" s="209">
        <f t="shared" si="12"/>
        <v>2</v>
      </c>
      <c r="B29" s="209" t="str">
        <f>'Team Setup'!B30</f>
        <v>Rangers FC</v>
      </c>
      <c r="C29" s="210">
        <f>SUMPRODUCT(('Group Stages'!$I$10:$I$153&lt;&gt;"")*('Group Stages'!$K$10:$K$153&lt;&gt;"")*('Group Stages'!$G$10:$G$153='Dummy Table'!$B29)*('Group Stages'!$I$10:$I$153&gt;'Group Stages'!$K$10:$K$153))</f>
        <v>2</v>
      </c>
      <c r="D29" s="210">
        <f>SUMPRODUCT(('Group Stages'!$I$10:$I$153&lt;&gt;"")*('Group Stages'!$K$10:$K$153&lt;&gt;"")*('Group Stages'!$G$10:$G$153='Dummy Table'!$B29)*('Group Stages'!$I$10:$I$153='Group Stages'!$K$10:$K$153))</f>
        <v>0</v>
      </c>
      <c r="E29" s="210">
        <f>SUMPRODUCT(('Group Stages'!$I$10:$I$153&lt;&gt;"")*('Group Stages'!$K$10:$K$153&lt;&gt;"")*('Group Stages'!$G$10:$G$153='Dummy Table'!$B29)*('Group Stages'!$I$10:$I$153&lt;'Group Stages'!$K$10:$K$153))</f>
        <v>0</v>
      </c>
      <c r="F29" s="210">
        <f>SUMIF('Group Stages'!$G$10:$G$153,'Dummy Table'!$B29,'Group Stages'!$I$10:$I$153)</f>
        <v>0</v>
      </c>
      <c r="G29" s="210">
        <f>SUMIF('Group Stages'!$G$10:$G$153,'Dummy Table'!$B29,'Group Stages'!$K$10:$K$153)</f>
        <v>0</v>
      </c>
      <c r="H29" s="210">
        <f t="shared" si="13"/>
        <v>0</v>
      </c>
      <c r="I29" s="210">
        <f t="shared" si="14"/>
        <v>6</v>
      </c>
      <c r="J29" s="209">
        <f>SUMPRODUCT(('Group Stages'!$I$10:$I$153&lt;&gt;"")*('Group Stages'!$K$10:$K$153&lt;&gt;"")*('Group Stages'!$M$10:$M$153='Dummy Table'!$B29)*('Group Stages'!$I$10:$I$153&lt;'Group Stages'!$K$10:$K$153))</f>
        <v>0</v>
      </c>
      <c r="K29" s="209">
        <f>SUMPRODUCT(('Group Stages'!$I$10:$I$153&lt;&gt;"")*('Group Stages'!$K$10:$K$153&lt;&gt;"")*('Group Stages'!$M$10:$M$153='Dummy Table'!$B29)*('Group Stages'!$I$10:$I$153='Group Stages'!$K$10:$K$153))</f>
        <v>1</v>
      </c>
      <c r="L29" s="209">
        <f>SUMPRODUCT(('Group Stages'!$I$10:$I$153&lt;&gt;"")*('Group Stages'!$K$10:$K$153&lt;&gt;"")*('Group Stages'!$M$10:$M$153='Dummy Table'!$B29)*('Group Stages'!$I$10:$I$153&gt;'Group Stages'!$K$10:$K$153))</f>
        <v>1</v>
      </c>
      <c r="M29" s="209">
        <f>SUMIF('Group Stages'!$M$10:$M$153,'Dummy Table'!$B29,'Group Stages'!$K$10:$K$153)</f>
        <v>0</v>
      </c>
      <c r="N29" s="209">
        <f>SUMIF('Group Stages'!$M$10:$M$153,'Dummy Table'!$B29,'Group Stages'!$I$10:$I$153)</f>
        <v>0</v>
      </c>
      <c r="O29" s="209">
        <f t="shared" si="15"/>
        <v>0</v>
      </c>
      <c r="P29" s="209">
        <f t="shared" si="16"/>
        <v>1</v>
      </c>
      <c r="Q29" s="209">
        <f t="shared" si="17"/>
        <v>2</v>
      </c>
      <c r="R29" s="209">
        <f t="shared" si="18"/>
        <v>1</v>
      </c>
      <c r="S29" s="209">
        <f t="shared" si="19"/>
        <v>1</v>
      </c>
      <c r="T29" s="209">
        <f t="shared" si="20"/>
        <v>0</v>
      </c>
      <c r="U29" s="209">
        <f t="shared" si="21"/>
        <v>0</v>
      </c>
      <c r="V29" s="209">
        <f t="shared" si="22"/>
        <v>0</v>
      </c>
      <c r="W29" s="209">
        <f t="shared" si="23"/>
        <v>7</v>
      </c>
      <c r="X29" s="210">
        <f>IF('Team Setup'!F30&lt;&gt;"",'Team Setup'!F30,DI29)</f>
        <v>10250</v>
      </c>
      <c r="Y29" s="210">
        <f>RANK(W29,W$28:W$31)</f>
        <v>1</v>
      </c>
      <c r="Z29" s="210">
        <f>SUMPRODUCT((W$28:W$31=W29)*(V$28:V$31&gt;V29))</f>
        <v>0</v>
      </c>
      <c r="AA29" s="210">
        <f>SUMPRODUCT((Y$28:Y$31=Y29)*(Z$28:Z$31=Z29)*(T$28:T$31&gt;T29))</f>
        <v>0</v>
      </c>
      <c r="AB29" s="210">
        <f>SUMPRODUCT((Y$28:Y$31=Y29)*(Z$28:Z$31=Z29)*(T$28:T$31=T29)*(X$28:X$31&gt;X29))</f>
        <v>1</v>
      </c>
      <c r="AC29" s="209">
        <v>2</v>
      </c>
      <c r="AD29" s="209" t="str">
        <f>VLOOKUP(AC29,$A$28:$B$31,2,FALSE)</f>
        <v>Rangers FC</v>
      </c>
      <c r="AE29" s="209">
        <f>VLOOKUP($AD29,$B$28:$W$31,22,FALSE)</f>
        <v>7</v>
      </c>
      <c r="AF29" s="209" t="str">
        <f t="shared" ref="AF29" si="112">IF(OR(AE29=AE28,AE29=AE30),AD29,"")</f>
        <v>Rangers FC</v>
      </c>
      <c r="AG29" s="210">
        <f>SUMPRODUCT(($BK$4:$BK$147='Dummy Table'!$AF29)*($BL$4:$BL$147&gt;$BM$4:$BM$147))</f>
        <v>0</v>
      </c>
      <c r="AH29" s="210">
        <f>SUMPRODUCT(($BK$4:$BK$147='Dummy Table'!$AF29)*($BL$4:$BL$147=$BM$4:$BM$147))</f>
        <v>0</v>
      </c>
      <c r="AI29" s="210">
        <f>SUMPRODUCT(($BK$4:$BK$147='Dummy Table'!$AF29)*($BL$4:$BL$147&lt;$BM$4:$BM$147))</f>
        <v>0</v>
      </c>
      <c r="AJ29" s="210">
        <f>SUMIF($BK$4:$BK$147,'Dummy Table'!$AF29,$BL$4:$BL$147)</f>
        <v>0</v>
      </c>
      <c r="AK29" s="210">
        <f>SUMIF($BK$4:$BK$147,'Dummy Table'!$AF29,$BM$4:$BM$147)</f>
        <v>0</v>
      </c>
      <c r="AL29" s="210">
        <f t="shared" si="24"/>
        <v>0</v>
      </c>
      <c r="AM29" s="210">
        <f t="shared" si="25"/>
        <v>0</v>
      </c>
      <c r="AN29" s="210">
        <f>SUMPRODUCT(($BN$4:$BN$147='Dummy Table'!$AF29)*($BL$4:$BL$147&lt;$BM$4:$BM$147))</f>
        <v>0</v>
      </c>
      <c r="AO29" s="210">
        <f>SUMPRODUCT(($BN$4:$BN$147='Dummy Table'!$AF29)*($BL$4:$BL$147=$BM$4:$BM$147))</f>
        <v>0</v>
      </c>
      <c r="AP29" s="210">
        <f>SUMPRODUCT(($BN$4:$BN$147='Dummy Table'!$AF29)*($BL$4:$BL$147&gt;$BM$4:$BM$147))</f>
        <v>1</v>
      </c>
      <c r="AQ29" s="210">
        <f>SUMIF($BN$4:$BN$147,'Dummy Table'!$AF29,$BM$4:$BM$147)</f>
        <v>0</v>
      </c>
      <c r="AR29" s="210">
        <f>SUMIF($BN$4:$BN$147,'Dummy Table'!$AF29,$BL$4:$BL$147)</f>
        <v>0</v>
      </c>
      <c r="AS29" s="210">
        <f t="shared" si="26"/>
        <v>0</v>
      </c>
      <c r="AT29" s="210">
        <f t="shared" si="27"/>
        <v>0</v>
      </c>
      <c r="AU29" s="210">
        <f t="shared" si="28"/>
        <v>0</v>
      </c>
      <c r="AV29" s="210">
        <f t="shared" si="29"/>
        <v>0</v>
      </c>
      <c r="AW29" s="210">
        <f t="shared" si="30"/>
        <v>1</v>
      </c>
      <c r="AX29" s="210">
        <f t="shared" si="31"/>
        <v>0</v>
      </c>
      <c r="AY29" s="210">
        <f t="shared" si="32"/>
        <v>0</v>
      </c>
      <c r="AZ29" s="210">
        <f t="shared" si="33"/>
        <v>0</v>
      </c>
      <c r="BA29" s="210">
        <f t="shared" si="44"/>
        <v>0</v>
      </c>
      <c r="BB29" s="209">
        <f t="shared" si="2"/>
        <v>0</v>
      </c>
      <c r="BC29" s="209">
        <f t="shared" si="3"/>
        <v>0</v>
      </c>
      <c r="BD29" s="209">
        <f t="shared" si="4"/>
        <v>10250</v>
      </c>
      <c r="BE29" s="209">
        <f>RANK(BA29,BA$28:BA$31)</f>
        <v>2</v>
      </c>
      <c r="BF29" s="209">
        <f>SUMPRODUCT((BA$28:BA$31=BA29)*(AZ$28:AZ$31&gt;AZ29))</f>
        <v>0</v>
      </c>
      <c r="BG29" s="209">
        <f>SUMPRODUCT((BA$28:BA$31=BA29)*(BE$28:BE$31=BE29)*(AZ$28:AZ$31=AZ29)*(AQ$28:AQ$31&gt;AQ29))</f>
        <v>0</v>
      </c>
      <c r="BH29" s="209">
        <f>SUMPRODUCT((BA$28:BA$31=BA29)*(BE$28:BE$31=BE29)*(AZ$28:AZ$31=AZ29)*(AQ$28:AQ$31=AQ29)*(BB$28:BB$31&gt;BB29))</f>
        <v>0</v>
      </c>
      <c r="BI29" s="209">
        <f>SUMPRODUCT((BA$28:BA$31=BA29)*(BE$28:BE$31=BE29)*(AZ$28:AZ$31=AZ29)*(AQ$28:AQ$31=AQ29)*(BB$28:BB$31=BB29)*(BC$28:BC$31&gt;BC29))</f>
        <v>0</v>
      </c>
      <c r="BJ29" s="209">
        <f>SUMPRODUCT((BA$28:BA$31=BA29)*(BE$28:BE$31=BE29)*(AZ$28:AZ$31=AZ29)*(AQ$28:AQ$31=AQ29)*(BB$28:BB$31=BB29)*(BC$28:BC$31=BC29)*(BD$28:BD$31&gt;BD29))</f>
        <v>0</v>
      </c>
      <c r="BK29" s="209" t="str">
        <f>IF(AND(COUNTIF($AF$4:$AF$35,'Group Stages'!G35)&gt;0,COUNTIF($AF$4:$AF$35,'Group Stages'!M35)&gt;0,'Group Stages'!I35&lt;&gt;"",'Group Stages'!K35&lt;&gt;""),'Group Stages'!G35,"")</f>
        <v/>
      </c>
      <c r="BL29" s="209" t="str">
        <f>IF($BK29&lt;&gt;"",'Group Stages'!I35,"")</f>
        <v/>
      </c>
      <c r="BM29" s="209" t="str">
        <f>IF($BK29&lt;&gt;"",'Group Stages'!K35,"")</f>
        <v/>
      </c>
      <c r="BN29" s="209" t="str">
        <f>IF($BK29&lt;&gt;"",'Group Stages'!M35,"")</f>
        <v/>
      </c>
      <c r="BO29" s="209">
        <f t="shared" si="5"/>
        <v>2</v>
      </c>
      <c r="BP29" s="209" t="str">
        <f t="shared" si="34"/>
        <v>Rangers FC</v>
      </c>
      <c r="BQ29" s="209">
        <f>VLOOKUP($AD29,$B$28:$W$31,22,FALSE)</f>
        <v>7</v>
      </c>
      <c r="BS29" s="217">
        <f>SUMPRODUCT(($CW$4:$CW$147='Dummy Table'!$BR29)*($CX$4:$CX$147&gt;$CY$4:$CY$147))</f>
        <v>0</v>
      </c>
      <c r="BT29" s="217">
        <f>SUMPRODUCT(($CW$4:$CW$147='Dummy Table'!$BR29)*($CX$4:$CX$147=$CY$4:$CY$147))</f>
        <v>142</v>
      </c>
      <c r="BU29" s="217">
        <f>SUMPRODUCT(($CW$4:$CW$147='Dummy Table'!$BR29)*($CX$4:$CX$147&lt;$CY$4:$CY$147))</f>
        <v>0</v>
      </c>
      <c r="BV29" s="217">
        <f>SUMIF($CW$4:$CW$147,'Dummy Table'!$BR29,$CX$4:$CX$147)</f>
        <v>0</v>
      </c>
      <c r="BW29" s="217">
        <f>SUMIF($CW$4:$CW$147,'Dummy Table'!$BR29,$CY$4:$CY$147)</f>
        <v>0</v>
      </c>
      <c r="BX29" s="217">
        <f t="shared" si="35"/>
        <v>0</v>
      </c>
      <c r="BY29" s="217" t="str">
        <f t="shared" si="36"/>
        <v/>
      </c>
      <c r="BZ29" s="217">
        <f>SUMPRODUCT(($CZ$4:$CZ$147='Dummy Table'!$BR29)*($CX$4:$CX$147&lt;$CY$4:$CY$147))</f>
        <v>0</v>
      </c>
      <c r="CA29" s="217">
        <f>SUMPRODUCT(($CZ$4:$CZ$147='Dummy Table'!$BR29)*($CX$4:$CX$147=$CY$4:$CY$147))</f>
        <v>142</v>
      </c>
      <c r="CB29" s="217">
        <f>SUMPRODUCT(($CZ$4:$CZ$147='Dummy Table'!$BR29)*($CX$4:$CX$147&gt;$CY$4:$CY$147))</f>
        <v>0</v>
      </c>
      <c r="CC29" s="217">
        <f>SUMIF($CZ$4:$CZ$147,'Dummy Table'!$BR29,$CY$4:$CY$147)</f>
        <v>0</v>
      </c>
      <c r="CD29" s="217">
        <f>SUMIF($CZ$4:$CZ$147,'Dummy Table'!$BR29,$CX$4:$CX$147)</f>
        <v>0</v>
      </c>
      <c r="CE29" s="217">
        <f t="shared" si="37"/>
        <v>0</v>
      </c>
      <c r="CF29" s="217" t="str">
        <f t="shared" si="38"/>
        <v/>
      </c>
      <c r="CG29" s="217">
        <f t="shared" si="39"/>
        <v>0</v>
      </c>
      <c r="CH29" s="217">
        <f t="shared" si="6"/>
        <v>284</v>
      </c>
      <c r="CI29" s="217">
        <f t="shared" si="7"/>
        <v>0</v>
      </c>
      <c r="CJ29" s="217">
        <f t="shared" si="8"/>
        <v>0</v>
      </c>
      <c r="CK29" s="217">
        <f t="shared" si="9"/>
        <v>0</v>
      </c>
      <c r="CL29" s="217">
        <f t="shared" si="10"/>
        <v>0</v>
      </c>
      <c r="CM29" s="217">
        <f t="shared" si="45"/>
        <v>-1</v>
      </c>
      <c r="CN29" s="210">
        <f t="shared" si="40"/>
        <v>10250</v>
      </c>
      <c r="CO29" s="210">
        <f>SUMIF($CZ$4:$CZ$147,'Dummy Table'!$BR29,$CY$4:$CY$147)*2</f>
        <v>0</v>
      </c>
      <c r="CP29" s="210">
        <f>RANK(CM29,CM$28:CM$31)</f>
        <v>3</v>
      </c>
      <c r="CR29" s="210">
        <f>SUMPRODUCT((CM$28:CM$31=CM29)*(CL$28:CL$31&gt;CL29))</f>
        <v>0</v>
      </c>
      <c r="CS29" s="210">
        <f>SUMPRODUCT((CP$28:CP$31=CP29)*(CR$28:CR$31=CR29)*(CO$28:CO$31&gt;CO29))</f>
        <v>0</v>
      </c>
      <c r="CT29" s="210">
        <f>IF(BR29&lt;&gt;"",SUMPRODUCT((CP$28:CP$31=CP29)*(CR$28:CR$31=CR29)*(CS$28:CS$31=CS29)*(V$28:V$31&gt;V29)),0)</f>
        <v>0</v>
      </c>
      <c r="CU29" s="210">
        <f>IF($BR29&lt;&gt;"",SUMPRODUCT((CP$28:CP$31=CP29)*(CR$28:CR$31=CR29)*(CS$28:CS$31=CS29)*(CT$28:CT$31=CT29)*(T$28:T$31&gt;T29)),0)</f>
        <v>0</v>
      </c>
      <c r="CV29" s="210">
        <f>SUMPRODUCT((CP$28:CP$31=CP29)*(CR$28:CR$31=CR29)*(CS$28:CS$31=CS29)*(CT$28:CT$31=CT29)*(CU$28:CU$31=CU29)*(CN$28:CN$31&gt;CN29))</f>
        <v>1</v>
      </c>
      <c r="CW29" s="209" t="str">
        <f>IF(AND(COUNTIF($BR$4:$BR$35,'Group Stages'!$G35)&gt;0,COUNTIF($BR$4:$BR$35,'Group Stages'!$M35)&gt;0),'Group Stages'!$G35,"")</f>
        <v/>
      </c>
      <c r="CX29" s="209" t="str">
        <f>IF($CW29&lt;&gt;"",'Group Stages'!$I35,"")</f>
        <v/>
      </c>
      <c r="CY29" s="209" t="str">
        <f>IF($CW29&lt;&gt;"",'Group Stages'!$K35,"")</f>
        <v/>
      </c>
      <c r="CZ29" s="209" t="str">
        <f>IF($CW29&lt;&gt;"",'Group Stages'!$M35,"")</f>
        <v/>
      </c>
      <c r="DA29" s="210" t="str">
        <f t="shared" si="11"/>
        <v/>
      </c>
      <c r="DB29" s="209" t="str">
        <f t="shared" si="43"/>
        <v/>
      </c>
      <c r="DC29" s="209">
        <v>2</v>
      </c>
      <c r="DD29" s="209" t="str">
        <f t="shared" si="47"/>
        <v/>
      </c>
      <c r="DE29" s="209">
        <f t="shared" ref="DE29" si="113">IF(AND(DD29="",DD28=""),DC29,IF(AND(DD28&lt;&gt;"",DD29=""),1,""))</f>
        <v>2</v>
      </c>
      <c r="DF29" s="209" t="str">
        <f>VLOOKUP(DE29,$BO$28:$BP$31,2,FALSE)</f>
        <v>Rangers FC</v>
      </c>
      <c r="DG29" s="209">
        <v>2</v>
      </c>
      <c r="DH29" s="209" t="str">
        <f t="shared" si="111"/>
        <v>Rangers FC</v>
      </c>
      <c r="DI29" s="209">
        <v>26</v>
      </c>
    </row>
    <row r="30" spans="1:113">
      <c r="A30" s="209">
        <f t="shared" si="12"/>
        <v>1</v>
      </c>
      <c r="B30" s="209" t="str">
        <f>'Team Setup'!B31</f>
        <v>BSC Young Boys</v>
      </c>
      <c r="C30" s="210">
        <f>SUMPRODUCT(('Group Stages'!$I$10:$I$153&lt;&gt;"")*('Group Stages'!$K$10:$K$153&lt;&gt;"")*('Group Stages'!$G$10:$G$153='Dummy Table'!$B30)*('Group Stages'!$I$10:$I$153&gt;'Group Stages'!$K$10:$K$153))</f>
        <v>2</v>
      </c>
      <c r="D30" s="210">
        <f>SUMPRODUCT(('Group Stages'!$I$10:$I$153&lt;&gt;"")*('Group Stages'!$K$10:$K$153&lt;&gt;"")*('Group Stages'!$G$10:$G$153='Dummy Table'!$B30)*('Group Stages'!$I$10:$I$153='Group Stages'!$K$10:$K$153))</f>
        <v>0</v>
      </c>
      <c r="E30" s="210">
        <f>SUMPRODUCT(('Group Stages'!$I$10:$I$153&lt;&gt;"")*('Group Stages'!$K$10:$K$153&lt;&gt;"")*('Group Stages'!$G$10:$G$153='Dummy Table'!$B30)*('Group Stages'!$I$10:$I$153&lt;'Group Stages'!$K$10:$K$153))</f>
        <v>0</v>
      </c>
      <c r="F30" s="210">
        <f>SUMIF('Group Stages'!$G$10:$G$153,'Dummy Table'!$B30,'Group Stages'!$I$10:$I$153)</f>
        <v>0</v>
      </c>
      <c r="G30" s="210">
        <f>SUMIF('Group Stages'!$G$10:$G$153,'Dummy Table'!$B30,'Group Stages'!$K$10:$K$153)</f>
        <v>0</v>
      </c>
      <c r="H30" s="210">
        <f t="shared" si="13"/>
        <v>0</v>
      </c>
      <c r="I30" s="210">
        <f t="shared" si="14"/>
        <v>6</v>
      </c>
      <c r="J30" s="209">
        <f>SUMPRODUCT(('Group Stages'!$I$10:$I$153&lt;&gt;"")*('Group Stages'!$K$10:$K$153&lt;&gt;"")*('Group Stages'!$M$10:$M$153='Dummy Table'!$B30)*('Group Stages'!$I$10:$I$153&lt;'Group Stages'!$K$10:$K$153))</f>
        <v>0</v>
      </c>
      <c r="K30" s="209">
        <f>SUMPRODUCT(('Group Stages'!$I$10:$I$153&lt;&gt;"")*('Group Stages'!$K$10:$K$153&lt;&gt;"")*('Group Stages'!$M$10:$M$153='Dummy Table'!$B30)*('Group Stages'!$I$10:$I$153='Group Stages'!$K$10:$K$153))</f>
        <v>1</v>
      </c>
      <c r="L30" s="209">
        <f>SUMPRODUCT(('Group Stages'!$I$10:$I$153&lt;&gt;"")*('Group Stages'!$K$10:$K$153&lt;&gt;"")*('Group Stages'!$M$10:$M$153='Dummy Table'!$B30)*('Group Stages'!$I$10:$I$153&gt;'Group Stages'!$K$10:$K$153))</f>
        <v>1</v>
      </c>
      <c r="M30" s="209">
        <f>SUMIF('Group Stages'!$M$10:$M$153,'Dummy Table'!$B30,'Group Stages'!$K$10:$K$153)</f>
        <v>0</v>
      </c>
      <c r="N30" s="209">
        <f>SUMIF('Group Stages'!$M$10:$M$153,'Dummy Table'!$B30,'Group Stages'!$I$10:$I$153)</f>
        <v>0</v>
      </c>
      <c r="O30" s="209">
        <f t="shared" si="15"/>
        <v>0</v>
      </c>
      <c r="P30" s="209">
        <f t="shared" si="16"/>
        <v>1</v>
      </c>
      <c r="Q30" s="209">
        <f t="shared" si="17"/>
        <v>2</v>
      </c>
      <c r="R30" s="209">
        <f t="shared" si="18"/>
        <v>1</v>
      </c>
      <c r="S30" s="209">
        <f t="shared" si="19"/>
        <v>1</v>
      </c>
      <c r="T30" s="209">
        <f t="shared" si="20"/>
        <v>0</v>
      </c>
      <c r="U30" s="209">
        <f t="shared" si="21"/>
        <v>0</v>
      </c>
      <c r="V30" s="209">
        <f t="shared" si="22"/>
        <v>0</v>
      </c>
      <c r="W30" s="209">
        <f t="shared" si="23"/>
        <v>7</v>
      </c>
      <c r="X30" s="210">
        <f>IF('Team Setup'!F31&lt;&gt;"",'Team Setup'!F31,DI30)</f>
        <v>24500</v>
      </c>
      <c r="Y30" s="210">
        <f>RANK(W30,W$28:W$31)</f>
        <v>1</v>
      </c>
      <c r="Z30" s="210">
        <f>SUMPRODUCT((W$28:W$31=W30)*(V$28:V$31&gt;V30))</f>
        <v>0</v>
      </c>
      <c r="AA30" s="210">
        <f>SUMPRODUCT((Y$28:Y$31=Y30)*(Z$28:Z$31=Z30)*(T$28:T$31&gt;T30))</f>
        <v>0</v>
      </c>
      <c r="AB30" s="210">
        <f>SUMPRODUCT((Y$28:Y$31=Y30)*(Z$28:Z$31=Z30)*(T$28:T$31=T30)*(X$28:X$31&gt;X30))</f>
        <v>0</v>
      </c>
      <c r="AC30" s="209">
        <v>3</v>
      </c>
      <c r="AD30" s="209" t="str">
        <f>VLOOKUP(AC30,$A$28:$B$31,2,FALSE)</f>
        <v>FC Porto</v>
      </c>
      <c r="AE30" s="209">
        <f>VLOOKUP($AD30,$B$28:$W$31,22,FALSE)</f>
        <v>4</v>
      </c>
      <c r="AF30" s="209" t="str">
        <f t="shared" ref="AF30" si="114">IF(AE30=AE29,AD30,"")</f>
        <v/>
      </c>
      <c r="AG30" s="210">
        <f>SUMPRODUCT(($BK$4:$BK$147='Dummy Table'!$AF30)*($BL$4:$BL$147&gt;$BM$4:$BM$147))</f>
        <v>0</v>
      </c>
      <c r="AH30" s="210">
        <f>SUMPRODUCT(($BK$4:$BK$147='Dummy Table'!$AF30)*($BL$4:$BL$147=$BM$4:$BM$147))</f>
        <v>134</v>
      </c>
      <c r="AI30" s="210">
        <f>SUMPRODUCT(($BK$4:$BK$147='Dummy Table'!$AF30)*($BL$4:$BL$147&lt;$BM$4:$BM$147))</f>
        <v>0</v>
      </c>
      <c r="AJ30" s="210">
        <f>SUMIF($BK$4:$BK$147,'Dummy Table'!$AF30,$BL$4:$BL$147)</f>
        <v>0</v>
      </c>
      <c r="AK30" s="210">
        <f>SUMIF($BK$4:$BK$147,'Dummy Table'!$AF30,$BM$4:$BM$147)</f>
        <v>0</v>
      </c>
      <c r="AL30" s="210">
        <f t="shared" si="24"/>
        <v>0</v>
      </c>
      <c r="AM30" s="210" t="str">
        <f t="shared" si="25"/>
        <v/>
      </c>
      <c r="AN30" s="210">
        <f>SUMPRODUCT(($BN$4:$BN$147='Dummy Table'!$AF30)*($BL$4:$BL$147&lt;$BM$4:$BM$147))</f>
        <v>0</v>
      </c>
      <c r="AO30" s="210">
        <f>SUMPRODUCT(($BN$4:$BN$147='Dummy Table'!$AF30)*($BL$4:$BL$147=$BM$4:$BM$147))</f>
        <v>134</v>
      </c>
      <c r="AP30" s="210">
        <f>SUMPRODUCT(($BN$4:$BN$147='Dummy Table'!$AF30)*($BL$4:$BL$147&gt;$BM$4:$BM$147))</f>
        <v>0</v>
      </c>
      <c r="AQ30" s="210">
        <f>SUMIF($BN$4:$BN$147,'Dummy Table'!$AF30,$BM$4:$BM$147)</f>
        <v>0</v>
      </c>
      <c r="AR30" s="210">
        <f>SUMIF($BN$4:$BN$147,'Dummy Table'!$AF30,$BL$4:$BL$147)</f>
        <v>0</v>
      </c>
      <c r="AS30" s="210">
        <f t="shared" si="26"/>
        <v>0</v>
      </c>
      <c r="AT30" s="210" t="str">
        <f t="shared" si="27"/>
        <v/>
      </c>
      <c r="AU30" s="210">
        <f t="shared" si="28"/>
        <v>0</v>
      </c>
      <c r="AV30" s="210">
        <f t="shared" si="29"/>
        <v>268</v>
      </c>
      <c r="AW30" s="210">
        <f t="shared" si="30"/>
        <v>0</v>
      </c>
      <c r="AX30" s="210">
        <f t="shared" si="31"/>
        <v>0</v>
      </c>
      <c r="AY30" s="210">
        <f t="shared" si="32"/>
        <v>0</v>
      </c>
      <c r="AZ30" s="210">
        <f t="shared" si="33"/>
        <v>0</v>
      </c>
      <c r="BA30" s="210">
        <f t="shared" si="44"/>
        <v>-1</v>
      </c>
      <c r="BB30" s="209" t="str">
        <f t="shared" si="2"/>
        <v/>
      </c>
      <c r="BC30" s="209" t="str">
        <f t="shared" si="3"/>
        <v/>
      </c>
      <c r="BD30" s="209" t="str">
        <f t="shared" si="4"/>
        <v/>
      </c>
      <c r="BE30" s="209">
        <f>RANK(BA30,BA$28:BA$31)</f>
        <v>3</v>
      </c>
      <c r="BF30" s="209">
        <f>SUMPRODUCT((BA$28:BA$31=BA30)*(AZ$28:AZ$31&gt;AZ30))</f>
        <v>0</v>
      </c>
      <c r="BG30" s="209">
        <f>SUMPRODUCT((BA$28:BA$31=BA30)*(BE$28:BE$31=BE30)*(AZ$28:AZ$31=AZ30)*(AQ$28:AQ$31&gt;AQ30))</f>
        <v>0</v>
      </c>
      <c r="BH30" s="209">
        <f>SUMPRODUCT((BA$28:BA$31=BA30)*(BE$28:BE$31=BE30)*(AZ$28:AZ$31=AZ30)*(AQ$28:AQ$31=AQ30)*(BB$28:BB$31&gt;BB30))</f>
        <v>0</v>
      </c>
      <c r="BI30" s="209">
        <f>SUMPRODUCT((BA$28:BA$31=BA30)*(BE$28:BE$31=BE30)*(AZ$28:AZ$31=AZ30)*(AQ$28:AQ$31=AQ30)*(BB$28:BB$31=BB30)*(BC$28:BC$31&gt;BC30))</f>
        <v>0</v>
      </c>
      <c r="BJ30" s="209">
        <f>SUMPRODUCT((BA$28:BA$31=BA30)*(BE$28:BE$31=BE30)*(AZ$28:AZ$31=AZ30)*(AQ$28:AQ$31=AQ30)*(BB$28:BB$31=BB30)*(BC$28:BC$31=BC30)*(BD$28:BD$31&gt;BD30))</f>
        <v>0</v>
      </c>
      <c r="BK30" s="209" t="str">
        <f>IF(AND(COUNTIF($AF$4:$AF$35,'Group Stages'!G36)&gt;0,COUNTIF($AF$4:$AF$35,'Group Stages'!M36)&gt;0,'Group Stages'!I36&lt;&gt;"",'Group Stages'!K36&lt;&gt;""),'Group Stages'!G36,"")</f>
        <v/>
      </c>
      <c r="BL30" s="209" t="str">
        <f>IF($BK30&lt;&gt;"",'Group Stages'!I36,"")</f>
        <v/>
      </c>
      <c r="BM30" s="209" t="str">
        <f>IF($BK30&lt;&gt;"",'Group Stages'!K36,"")</f>
        <v/>
      </c>
      <c r="BN30" s="209" t="str">
        <f>IF($BK30&lt;&gt;"",'Group Stages'!M36,"")</f>
        <v/>
      </c>
      <c r="BO30" s="209" t="str">
        <f t="shared" si="5"/>
        <v/>
      </c>
      <c r="BP30" s="209" t="str">
        <f t="shared" si="34"/>
        <v/>
      </c>
      <c r="BQ30" s="209">
        <f>VLOOKUP($AD30,$B$28:$W$31,22,FALSE)</f>
        <v>4</v>
      </c>
      <c r="BR30" s="209" t="str">
        <f t="shared" ref="BR30" si="115">IF(AND(BQ30&lt;&gt;BQ29,BQ30=BQ31),AD30,"")</f>
        <v>FC Porto</v>
      </c>
      <c r="BS30" s="217">
        <f>SUMPRODUCT(($CW$4:$CW$147='Dummy Table'!$BR30)*($CX$4:$CX$147&gt;$CY$4:$CY$147))</f>
        <v>0</v>
      </c>
      <c r="BT30" s="217">
        <f>SUMPRODUCT(($CW$4:$CW$147='Dummy Table'!$BR30)*($CX$4:$CX$147=$CY$4:$CY$147))</f>
        <v>1</v>
      </c>
      <c r="BU30" s="217">
        <f>SUMPRODUCT(($CW$4:$CW$147='Dummy Table'!$BR30)*($CX$4:$CX$147&lt;$CY$4:$CY$147))</f>
        <v>0</v>
      </c>
      <c r="BV30" s="217">
        <f>SUMIF($CW$4:$CW$147,'Dummy Table'!$BR30,$CX$4:$CX$147)</f>
        <v>0</v>
      </c>
      <c r="BW30" s="217">
        <f>SUMIF($CW$4:$CW$147,'Dummy Table'!$BR30,$CY$4:$CY$147)</f>
        <v>0</v>
      </c>
      <c r="BX30" s="217">
        <f t="shared" si="35"/>
        <v>0</v>
      </c>
      <c r="BY30" s="217">
        <f t="shared" si="36"/>
        <v>1</v>
      </c>
      <c r="BZ30" s="217">
        <f>SUMPRODUCT(($CZ$4:$CZ$147='Dummy Table'!$BR30)*($CX$4:$CX$147&lt;$CY$4:$CY$147))</f>
        <v>0</v>
      </c>
      <c r="CA30" s="217">
        <f>SUMPRODUCT(($CZ$4:$CZ$147='Dummy Table'!$BR30)*($CX$4:$CX$147=$CY$4:$CY$147))</f>
        <v>0</v>
      </c>
      <c r="CB30" s="217">
        <f>SUMPRODUCT(($CZ$4:$CZ$147='Dummy Table'!$BR30)*($CX$4:$CX$147&gt;$CY$4:$CY$147))</f>
        <v>1</v>
      </c>
      <c r="CC30" s="217">
        <f>SUMIF($CZ$4:$CZ$147,'Dummy Table'!$BR30,$CY$4:$CY$147)</f>
        <v>0</v>
      </c>
      <c r="CD30" s="217">
        <f>SUMIF($CZ$4:$CZ$147,'Dummy Table'!$BR30,$CX$4:$CX$147)</f>
        <v>0</v>
      </c>
      <c r="CE30" s="217">
        <f t="shared" si="37"/>
        <v>0</v>
      </c>
      <c r="CF30" s="217">
        <f t="shared" si="38"/>
        <v>0</v>
      </c>
      <c r="CG30" s="217">
        <f t="shared" si="39"/>
        <v>0</v>
      </c>
      <c r="CH30" s="217">
        <f t="shared" si="6"/>
        <v>1</v>
      </c>
      <c r="CI30" s="217">
        <f t="shared" si="7"/>
        <v>1</v>
      </c>
      <c r="CJ30" s="217">
        <f t="shared" si="8"/>
        <v>0</v>
      </c>
      <c r="CK30" s="217">
        <f t="shared" si="9"/>
        <v>0</v>
      </c>
      <c r="CL30" s="217">
        <f t="shared" si="10"/>
        <v>0</v>
      </c>
      <c r="CM30" s="217">
        <f t="shared" si="45"/>
        <v>1</v>
      </c>
      <c r="CN30" s="210">
        <f t="shared" si="40"/>
        <v>24500</v>
      </c>
      <c r="CO30" s="210">
        <f>SUMIF($CZ$4:$CZ$147,'Dummy Table'!$BR30,$CY$4:$CY$147)*2</f>
        <v>0</v>
      </c>
      <c r="CP30" s="210">
        <f>RANK(CM30,CM$28:CM$31)</f>
        <v>2</v>
      </c>
      <c r="CR30" s="210">
        <f>SUMPRODUCT((CM$28:CM$31=CM30)*(CL$28:CL$31&gt;CL30))</f>
        <v>0</v>
      </c>
      <c r="CS30" s="210">
        <f>SUMPRODUCT((CP$28:CP$31=CP30)*(CR$28:CR$31=CR30)*(CO$28:CO$31&gt;CO30))</f>
        <v>0</v>
      </c>
      <c r="CT30" s="210">
        <f>IF(BR30&lt;&gt;"",SUMPRODUCT((CP$28:CP$31=CP30)*(CR$28:CR$31=CR30)*(CS$28:CS$31=CS30)*(V$28:V$31&gt;V30)),0)</f>
        <v>0</v>
      </c>
      <c r="CU30" s="210">
        <f>IF($BR30&lt;&gt;"",SUMPRODUCT((CP$28:CP$31=CP30)*(CR$28:CR$31=CR30)*(CS$28:CS$31=CS30)*(CT$28:CT$31=CT30)*(T$28:T$31&gt;T30)),0)</f>
        <v>0</v>
      </c>
      <c r="CV30" s="210">
        <f>SUMPRODUCT((CP$28:CP$31=CP30)*(CR$28:CR$31=CR30)*(CS$28:CS$31=CS30)*(CT$28:CT$31=CT30)*(CU$28:CU$31=CU30)*(CN$28:CN$31&gt;CN30))</f>
        <v>0</v>
      </c>
      <c r="CW30" s="209" t="str">
        <f>IF(AND(COUNTIF($BR$4:$BR$35,'Group Stages'!$G36)&gt;0,COUNTIF($BR$4:$BR$35,'Group Stages'!$M36)&gt;0),'Group Stages'!$G36,"")</f>
        <v/>
      </c>
      <c r="CX30" s="209" t="str">
        <f>IF($CW30&lt;&gt;"",'Group Stages'!$I36,"")</f>
        <v/>
      </c>
      <c r="CY30" s="209" t="str">
        <f>IF($CW30&lt;&gt;"",'Group Stages'!$K36,"")</f>
        <v/>
      </c>
      <c r="CZ30" s="209" t="str">
        <f>IF($CW30&lt;&gt;"",'Group Stages'!$M36,"")</f>
        <v/>
      </c>
      <c r="DA30" s="210">
        <f t="shared" si="11"/>
        <v>2</v>
      </c>
      <c r="DB30" s="209" t="str">
        <f t="shared" si="43"/>
        <v>FC Porto</v>
      </c>
      <c r="DC30" s="209">
        <v>3</v>
      </c>
      <c r="DD30" s="209" t="str">
        <f t="shared" si="47"/>
        <v>FC Porto</v>
      </c>
      <c r="DE30" s="209" t="str">
        <f t="shared" ref="DE30" si="116">IF(AND(DD30="",DD29="",DD28=""),DC30,IF(AND(DD28&lt;&gt;"",DD29="",DD30=""),2,IF(AND(DD28&lt;&gt;"",DD29&lt;&gt;"",DD30=""),1,"")))</f>
        <v/>
      </c>
      <c r="DF30" s="209" t="str">
        <f>VLOOKUP(DE30,$BO$28:$BP$31,2,FALSE)</f>
        <v/>
      </c>
      <c r="DG30" s="209">
        <v>3</v>
      </c>
      <c r="DH30" s="209" t="str">
        <f t="shared" ref="DH30" si="117">IF(DB30&lt;&gt;"",IF(DA30&lt;DA31,DB30,DB31),IF(DF30&lt;&gt;"",DF30,DD30))</f>
        <v>Feyenoord</v>
      </c>
      <c r="DI30" s="209">
        <v>27</v>
      </c>
    </row>
    <row r="31" spans="1:113">
      <c r="A31" s="209">
        <f t="shared" si="12"/>
        <v>4</v>
      </c>
      <c r="B31" s="209" t="str">
        <f>'Team Setup'!B32</f>
        <v>Feyenoord</v>
      </c>
      <c r="C31" s="210">
        <f>SUMPRODUCT(('Group Stages'!$I$10:$I$153&lt;&gt;"")*('Group Stages'!$K$10:$K$153&lt;&gt;"")*('Group Stages'!$G$10:$G$153='Dummy Table'!$B31)*('Group Stages'!$I$10:$I$153&gt;'Group Stages'!$K$10:$K$153))</f>
        <v>1</v>
      </c>
      <c r="D31" s="210">
        <f>SUMPRODUCT(('Group Stages'!$I$10:$I$153&lt;&gt;"")*('Group Stages'!$K$10:$K$153&lt;&gt;"")*('Group Stages'!$G$10:$G$153='Dummy Table'!$B31)*('Group Stages'!$I$10:$I$153='Group Stages'!$K$10:$K$153))</f>
        <v>1</v>
      </c>
      <c r="E31" s="210">
        <f>SUMPRODUCT(('Group Stages'!$I$10:$I$153&lt;&gt;"")*('Group Stages'!$K$10:$K$153&lt;&gt;"")*('Group Stages'!$G$10:$G$153='Dummy Table'!$B31)*('Group Stages'!$I$10:$I$153&lt;'Group Stages'!$K$10:$K$153))</f>
        <v>0</v>
      </c>
      <c r="F31" s="210">
        <f>SUMIF('Group Stages'!$G$10:$G$153,'Dummy Table'!$B31,'Group Stages'!$I$10:$I$153)</f>
        <v>0</v>
      </c>
      <c r="G31" s="210">
        <f>SUMIF('Group Stages'!$G$10:$G$153,'Dummy Table'!$B31,'Group Stages'!$K$10:$K$153)</f>
        <v>0</v>
      </c>
      <c r="H31" s="210">
        <f t="shared" si="13"/>
        <v>0</v>
      </c>
      <c r="I31" s="210">
        <f t="shared" si="14"/>
        <v>4</v>
      </c>
      <c r="J31" s="209">
        <f>SUMPRODUCT(('Group Stages'!$I$10:$I$153&lt;&gt;"")*('Group Stages'!$K$10:$K$153&lt;&gt;"")*('Group Stages'!$M$10:$M$153='Dummy Table'!$B31)*('Group Stages'!$I$10:$I$153&lt;'Group Stages'!$K$10:$K$153))</f>
        <v>0</v>
      </c>
      <c r="K31" s="209">
        <f>SUMPRODUCT(('Group Stages'!$I$10:$I$153&lt;&gt;"")*('Group Stages'!$K$10:$K$153&lt;&gt;"")*('Group Stages'!$M$10:$M$153='Dummy Table'!$B31)*('Group Stages'!$I$10:$I$153='Group Stages'!$K$10:$K$153))</f>
        <v>0</v>
      </c>
      <c r="L31" s="209">
        <f>SUMPRODUCT(('Group Stages'!$I$10:$I$153&lt;&gt;"")*('Group Stages'!$K$10:$K$153&lt;&gt;"")*('Group Stages'!$M$10:$M$153='Dummy Table'!$B31)*('Group Stages'!$I$10:$I$153&gt;'Group Stages'!$K$10:$K$153))</f>
        <v>2</v>
      </c>
      <c r="M31" s="209">
        <f>SUMIF('Group Stages'!$M$10:$M$153,'Dummy Table'!$B31,'Group Stages'!$K$10:$K$153)</f>
        <v>0</v>
      </c>
      <c r="N31" s="209">
        <f>SUMIF('Group Stages'!$M$10:$M$153,'Dummy Table'!$B31,'Group Stages'!$I$10:$I$153)</f>
        <v>0</v>
      </c>
      <c r="O31" s="209">
        <f t="shared" si="15"/>
        <v>0</v>
      </c>
      <c r="P31" s="209">
        <f t="shared" si="16"/>
        <v>0</v>
      </c>
      <c r="Q31" s="209">
        <f t="shared" si="17"/>
        <v>1</v>
      </c>
      <c r="R31" s="209">
        <f t="shared" si="18"/>
        <v>1</v>
      </c>
      <c r="S31" s="209">
        <f t="shared" si="19"/>
        <v>2</v>
      </c>
      <c r="T31" s="209">
        <f t="shared" si="20"/>
        <v>0</v>
      </c>
      <c r="U31" s="209">
        <f t="shared" si="21"/>
        <v>0</v>
      </c>
      <c r="V31" s="209">
        <f t="shared" si="22"/>
        <v>0</v>
      </c>
      <c r="W31" s="209">
        <f t="shared" si="23"/>
        <v>4</v>
      </c>
      <c r="X31" s="210">
        <f>IF('Team Setup'!F32&lt;&gt;"",'Team Setup'!F32,DI31)</f>
        <v>16000</v>
      </c>
      <c r="Y31" s="210">
        <f>RANK(W31,W$28:W$31)</f>
        <v>3</v>
      </c>
      <c r="Z31" s="210">
        <f>SUMPRODUCT((W$28:W$31=W31)*(V$28:V$31&gt;V31))</f>
        <v>0</v>
      </c>
      <c r="AA31" s="210">
        <f>SUMPRODUCT((Y$28:Y$31=Y31)*(Z$28:Z$31=Z31)*(T$28:T$31&gt;T31))</f>
        <v>0</v>
      </c>
      <c r="AB31" s="210">
        <f>SUMPRODUCT((Y$28:Y$31=Y31)*(Z$28:Z$31=Z31)*(T$28:T$31=T31)*(X$28:X$31&gt;X31))</f>
        <v>1</v>
      </c>
      <c r="AC31" s="209">
        <v>4</v>
      </c>
      <c r="AD31" s="209" t="str">
        <f>VLOOKUP(AC31,$A$28:$B$31,2,FALSE)</f>
        <v>Feyenoord</v>
      </c>
      <c r="AE31" s="209">
        <f>VLOOKUP($AD31,$B$28:$W$31,22,FALSE)</f>
        <v>4</v>
      </c>
      <c r="AF31" s="209" t="str">
        <f t="shared" ref="AF31" si="118">IF(AND(AE31=AE30,AE30=AE29),AD31,"")</f>
        <v/>
      </c>
      <c r="AG31" s="210">
        <f>SUMPRODUCT(($BK$4:$BK$147='Dummy Table'!$AF31)*($BL$4:$BL$147&gt;$BM$4:$BM$147))</f>
        <v>0</v>
      </c>
      <c r="AH31" s="210">
        <f>SUMPRODUCT(($BK$4:$BK$147='Dummy Table'!$AF31)*($BL$4:$BL$147=$BM$4:$BM$147))</f>
        <v>134</v>
      </c>
      <c r="AI31" s="210">
        <f>SUMPRODUCT(($BK$4:$BK$147='Dummy Table'!$AF31)*($BL$4:$BL$147&lt;$BM$4:$BM$147))</f>
        <v>0</v>
      </c>
      <c r="AJ31" s="210">
        <f>SUMIF($BK$4:$BK$147,'Dummy Table'!$AF31,$BL$4:$BL$147)</f>
        <v>0</v>
      </c>
      <c r="AK31" s="210">
        <f>SUMIF($BK$4:$BK$147,'Dummy Table'!$AF31,$BM$4:$BM$147)</f>
        <v>0</v>
      </c>
      <c r="AL31" s="210">
        <f t="shared" si="24"/>
        <v>0</v>
      </c>
      <c r="AM31" s="210" t="str">
        <f t="shared" si="25"/>
        <v/>
      </c>
      <c r="AN31" s="210">
        <f>SUMPRODUCT(($BN$4:$BN$147='Dummy Table'!$AF31)*($BL$4:$BL$147&lt;$BM$4:$BM$147))</f>
        <v>0</v>
      </c>
      <c r="AO31" s="210">
        <f>SUMPRODUCT(($BN$4:$BN$147='Dummy Table'!$AF31)*($BL$4:$BL$147=$BM$4:$BM$147))</f>
        <v>134</v>
      </c>
      <c r="AP31" s="210">
        <f>SUMPRODUCT(($BN$4:$BN$147='Dummy Table'!$AF31)*($BL$4:$BL$147&gt;$BM$4:$BM$147))</f>
        <v>0</v>
      </c>
      <c r="AQ31" s="210">
        <f>SUMIF($BN$4:$BN$147,'Dummy Table'!$AF31,$BM$4:$BM$147)</f>
        <v>0</v>
      </c>
      <c r="AR31" s="210">
        <f>SUMIF($BN$4:$BN$147,'Dummy Table'!$AF31,$BL$4:$BL$147)</f>
        <v>0</v>
      </c>
      <c r="AS31" s="210">
        <f t="shared" si="26"/>
        <v>0</v>
      </c>
      <c r="AT31" s="210" t="str">
        <f t="shared" si="27"/>
        <v/>
      </c>
      <c r="AU31" s="210">
        <f t="shared" si="28"/>
        <v>0</v>
      </c>
      <c r="AV31" s="210">
        <f t="shared" si="29"/>
        <v>268</v>
      </c>
      <c r="AW31" s="210">
        <f t="shared" si="30"/>
        <v>0</v>
      </c>
      <c r="AX31" s="210">
        <f t="shared" si="31"/>
        <v>0</v>
      </c>
      <c r="AY31" s="210">
        <f t="shared" si="32"/>
        <v>0</v>
      </c>
      <c r="AZ31" s="210">
        <f t="shared" si="33"/>
        <v>0</v>
      </c>
      <c r="BA31" s="210">
        <f t="shared" si="44"/>
        <v>-1</v>
      </c>
      <c r="BB31" s="209" t="str">
        <f t="shared" si="2"/>
        <v/>
      </c>
      <c r="BC31" s="209" t="str">
        <f t="shared" si="3"/>
        <v/>
      </c>
      <c r="BD31" s="209" t="str">
        <f t="shared" si="4"/>
        <v/>
      </c>
      <c r="BE31" s="209">
        <f>RANK(BA31,BA$28:BA$31)</f>
        <v>3</v>
      </c>
      <c r="BF31" s="209">
        <f>SUMPRODUCT((BA$28:BA$31=BA31)*(AZ$28:AZ$31&gt;AZ31))</f>
        <v>0</v>
      </c>
      <c r="BG31" s="209">
        <f>SUMPRODUCT((BA$28:BA$31=BA31)*(BE$28:BE$31=BE31)*(AZ$28:AZ$31=AZ31)*(AQ$28:AQ$31&gt;AQ31))</f>
        <v>0</v>
      </c>
      <c r="BH31" s="209">
        <f>SUMPRODUCT((BA$28:BA$31=BA31)*(BE$28:BE$31=BE31)*(AZ$28:AZ$31=AZ31)*(AQ$28:AQ$31=AQ31)*(BB$28:BB$31&gt;BB31))</f>
        <v>0</v>
      </c>
      <c r="BI31" s="209">
        <f>SUMPRODUCT((BA$28:BA$31=BA31)*(BE$28:BE$31=BE31)*(AZ$28:AZ$31=AZ31)*(AQ$28:AQ$31=AQ31)*(BB$28:BB$31=BB31)*(BC$28:BC$31&gt;BC31))</f>
        <v>0</v>
      </c>
      <c r="BJ31" s="209">
        <f>SUMPRODUCT((BA$28:BA$31=BA31)*(BE$28:BE$31=BE31)*(AZ$28:AZ$31=AZ31)*(AQ$28:AQ$31=AQ31)*(BB$28:BB$31=BB31)*(BC$28:BC$31=BC31)*(BD$28:BD$31&gt;BD31))</f>
        <v>0</v>
      </c>
      <c r="BK31" s="209" t="str">
        <f>IF(AND(COUNTIF($AF$4:$AF$35,'Group Stages'!G37)&gt;0,COUNTIF($AF$4:$AF$35,'Group Stages'!M37)&gt;0,'Group Stages'!I37&lt;&gt;"",'Group Stages'!K37&lt;&gt;""),'Group Stages'!G37,"")</f>
        <v/>
      </c>
      <c r="BL31" s="209" t="str">
        <f>IF($BK31&lt;&gt;"",'Group Stages'!I37,"")</f>
        <v/>
      </c>
      <c r="BM31" s="209" t="str">
        <f>IF($BK31&lt;&gt;"",'Group Stages'!K37,"")</f>
        <v/>
      </c>
      <c r="BN31" s="209" t="str">
        <f>IF($BK31&lt;&gt;"",'Group Stages'!M37,"")</f>
        <v/>
      </c>
      <c r="BO31" s="209" t="str">
        <f t="shared" si="5"/>
        <v/>
      </c>
      <c r="BP31" s="209" t="str">
        <f t="shared" si="34"/>
        <v/>
      </c>
      <c r="BQ31" s="209">
        <f>VLOOKUP($AD31,$B$28:$W$31,22,FALSE)</f>
        <v>4</v>
      </c>
      <c r="BR31" s="209" t="str">
        <f t="shared" ref="BR31" si="119">IF(BR30&lt;&gt;"",AD31,"")</f>
        <v>Feyenoord</v>
      </c>
      <c r="BS31" s="217">
        <f>SUMPRODUCT(($CW$4:$CW$147='Dummy Table'!$BR31)*($CX$4:$CX$147&gt;$CY$4:$CY$147))</f>
        <v>1</v>
      </c>
      <c r="BT31" s="217">
        <f>SUMPRODUCT(($CW$4:$CW$147='Dummy Table'!$BR31)*($CX$4:$CX$147=$CY$4:$CY$147))</f>
        <v>0</v>
      </c>
      <c r="BU31" s="217">
        <f>SUMPRODUCT(($CW$4:$CW$147='Dummy Table'!$BR31)*($CX$4:$CX$147&lt;$CY$4:$CY$147))</f>
        <v>0</v>
      </c>
      <c r="BV31" s="217">
        <f>SUMIF($CW$4:$CW$147,'Dummy Table'!$BR31,$CX$4:$CX$147)</f>
        <v>0</v>
      </c>
      <c r="BW31" s="217">
        <f>SUMIF($CW$4:$CW$147,'Dummy Table'!$BR31,$CY$4:$CY$147)</f>
        <v>0</v>
      </c>
      <c r="BX31" s="217">
        <f t="shared" si="35"/>
        <v>0</v>
      </c>
      <c r="BY31" s="217">
        <f t="shared" si="36"/>
        <v>3</v>
      </c>
      <c r="BZ31" s="217">
        <f>SUMPRODUCT(($CZ$4:$CZ$147='Dummy Table'!$BR31)*($CX$4:$CX$147&lt;$CY$4:$CY$147))</f>
        <v>0</v>
      </c>
      <c r="CA31" s="217">
        <f>SUMPRODUCT(($CZ$4:$CZ$147='Dummy Table'!$BR31)*($CX$4:$CX$147=$CY$4:$CY$147))</f>
        <v>1</v>
      </c>
      <c r="CB31" s="217">
        <f>SUMPRODUCT(($CZ$4:$CZ$147='Dummy Table'!$BR31)*($CX$4:$CX$147&gt;$CY$4:$CY$147))</f>
        <v>0</v>
      </c>
      <c r="CC31" s="217">
        <f>SUMIF($CZ$4:$CZ$147,'Dummy Table'!$BR31,$CY$4:$CY$147)</f>
        <v>0</v>
      </c>
      <c r="CD31" s="217">
        <f>SUMIF($CZ$4:$CZ$147,'Dummy Table'!$BR31,$CX$4:$CX$147)</f>
        <v>0</v>
      </c>
      <c r="CE31" s="217">
        <f t="shared" si="37"/>
        <v>0</v>
      </c>
      <c r="CF31" s="217">
        <f t="shared" si="38"/>
        <v>1</v>
      </c>
      <c r="CG31" s="217">
        <f t="shared" si="39"/>
        <v>1</v>
      </c>
      <c r="CH31" s="217">
        <f t="shared" si="6"/>
        <v>1</v>
      </c>
      <c r="CI31" s="217">
        <f t="shared" si="7"/>
        <v>0</v>
      </c>
      <c r="CJ31" s="217">
        <f t="shared" si="8"/>
        <v>0</v>
      </c>
      <c r="CK31" s="217">
        <f t="shared" si="9"/>
        <v>0</v>
      </c>
      <c r="CL31" s="217">
        <f t="shared" si="10"/>
        <v>0</v>
      </c>
      <c r="CM31" s="217">
        <f t="shared" si="45"/>
        <v>4</v>
      </c>
      <c r="CN31" s="210">
        <f t="shared" si="40"/>
        <v>16000</v>
      </c>
      <c r="CO31" s="210">
        <f>SUMIF($CZ$4:$CZ$147,'Dummy Table'!$BR31,$CY$4:$CY$147)*2</f>
        <v>0</v>
      </c>
      <c r="CP31" s="210">
        <f>RANK(CM31,CM$28:CM$31)</f>
        <v>1</v>
      </c>
      <c r="CR31" s="210">
        <f>SUMPRODUCT((CM$28:CM$31=CM31)*(CL$28:CL$31&gt;CL31))</f>
        <v>0</v>
      </c>
      <c r="CS31" s="210">
        <f>SUMPRODUCT((CP$28:CP$31=CP31)*(CR$28:CR$31=CR31)*(CO$28:CO$31&gt;CO31))</f>
        <v>0</v>
      </c>
      <c r="CT31" s="210">
        <f>IF(BR31&lt;&gt;"",SUMPRODUCT((CP$28:CP$31=CP31)*(CR$28:CR$31=CR31)*(CS$28:CS$31=CS31)*(V$28:V$31&gt;V31)),0)</f>
        <v>0</v>
      </c>
      <c r="CU31" s="210">
        <f>IF($BR31&lt;&gt;"",SUMPRODUCT((CP$28:CP$31=CP31)*(CR$28:CR$31=CR31)*(CS$28:CS$31=CS31)*(CT$28:CT$31=CT31)*(T$28:T$31&gt;T31)),0)</f>
        <v>0</v>
      </c>
      <c r="CV31" s="210">
        <f>SUMPRODUCT((CP$28:CP$31=CP31)*(CR$28:CR$31=CR31)*(CS$28:CS$31=CS31)*(CT$28:CT$31=CT31)*(CU$28:CU$31=CU31)*(CN$28:CN$31&gt;CN31))</f>
        <v>0</v>
      </c>
      <c r="CW31" s="209" t="str">
        <f>IF(AND(COUNTIF($BR$4:$BR$35,'Group Stages'!$G37)&gt;0,COUNTIF($BR$4:$BR$35,'Group Stages'!$M37)&gt;0),'Group Stages'!$G37,"")</f>
        <v/>
      </c>
      <c r="CX31" s="209" t="str">
        <f>IF($CW31&lt;&gt;"",'Group Stages'!$I37,"")</f>
        <v/>
      </c>
      <c r="CY31" s="209" t="str">
        <f>IF($CW31&lt;&gt;"",'Group Stages'!$K37,"")</f>
        <v/>
      </c>
      <c r="CZ31" s="209" t="str">
        <f>IF($CW31&lt;&gt;"",'Group Stages'!$M37,"")</f>
        <v/>
      </c>
      <c r="DA31" s="210">
        <f t="shared" si="11"/>
        <v>1</v>
      </c>
      <c r="DB31" s="209" t="str">
        <f t="shared" si="43"/>
        <v>Feyenoord</v>
      </c>
      <c r="DC31" s="209">
        <v>4</v>
      </c>
      <c r="DD31" s="209" t="str">
        <f t="shared" si="47"/>
        <v>Feyenoord</v>
      </c>
      <c r="DE31" s="209" t="str">
        <f t="shared" ref="DE31" si="120">IF(AND(DD31="",DD30="",DD29="",DD28=""),4,IF(AND(DD31="",DD30="",DD29=""),3,IF(AND(DD29&lt;&gt;"",DD30="",DD31=""),2,IF(AND(DD29&lt;&gt;"",DD30&lt;&gt;"",DD31=""),1,""))))</f>
        <v/>
      </c>
      <c r="DF31" s="209" t="str">
        <f>VLOOKUP(DE31,$BO$28:$BP$31,2,FALSE)</f>
        <v/>
      </c>
      <c r="DG31" s="209">
        <v>4</v>
      </c>
      <c r="DH31" s="209" t="str">
        <f t="shared" ref="DH31" si="121">IF(DB31&lt;&gt;"",IF(DA30&lt;DA31,DB31,DB30),IF(DF31&lt;&gt;"",DF31,DD31))</f>
        <v>FC Porto</v>
      </c>
      <c r="DI31" s="209">
        <v>28</v>
      </c>
    </row>
    <row r="32" spans="1:113">
      <c r="A32" s="209">
        <f t="shared" si="12"/>
        <v>2</v>
      </c>
      <c r="B32" s="209" t="str">
        <f>'Team Setup'!B33</f>
        <v>PFC Ludogorets Razgrad</v>
      </c>
      <c r="C32" s="210">
        <f>SUMPRODUCT(('Group Stages'!$I$10:$I$153&lt;&gt;"")*('Group Stages'!$K$10:$K$153&lt;&gt;"")*('Group Stages'!$G$10:$G$153='Dummy Table'!$B32)*('Group Stages'!$I$10:$I$153&gt;'Group Stages'!$K$10:$K$153))</f>
        <v>1</v>
      </c>
      <c r="D32" s="210">
        <f>SUMPRODUCT(('Group Stages'!$I$10:$I$153&lt;&gt;"")*('Group Stages'!$K$10:$K$153&lt;&gt;"")*('Group Stages'!$G$10:$G$153='Dummy Table'!$B32)*('Group Stages'!$I$10:$I$153='Group Stages'!$K$10:$K$153))</f>
        <v>0</v>
      </c>
      <c r="E32" s="210">
        <f>SUMPRODUCT(('Group Stages'!$I$10:$I$153&lt;&gt;"")*('Group Stages'!$K$10:$K$153&lt;&gt;"")*('Group Stages'!$G$10:$G$153='Dummy Table'!$B32)*('Group Stages'!$I$10:$I$153&lt;'Group Stages'!$K$10:$K$153))</f>
        <v>1</v>
      </c>
      <c r="F32" s="210">
        <f>SUMIF('Group Stages'!$G$10:$G$153,'Dummy Table'!$B32,'Group Stages'!$I$10:$I$153)</f>
        <v>0</v>
      </c>
      <c r="G32" s="210">
        <f>SUMIF('Group Stages'!$G$10:$G$153,'Dummy Table'!$B32,'Group Stages'!$K$10:$K$153)</f>
        <v>0</v>
      </c>
      <c r="H32" s="210">
        <f t="shared" si="13"/>
        <v>0</v>
      </c>
      <c r="I32" s="210">
        <f t="shared" si="14"/>
        <v>3</v>
      </c>
      <c r="J32" s="209">
        <f>SUMPRODUCT(('Group Stages'!$I$10:$I$153&lt;&gt;"")*('Group Stages'!$K$10:$K$153&lt;&gt;"")*('Group Stages'!$M$10:$M$153='Dummy Table'!$B32)*('Group Stages'!$I$10:$I$153&lt;'Group Stages'!$K$10:$K$153))</f>
        <v>1</v>
      </c>
      <c r="K32" s="209">
        <f>SUMPRODUCT(('Group Stages'!$I$10:$I$153&lt;&gt;"")*('Group Stages'!$K$10:$K$153&lt;&gt;"")*('Group Stages'!$M$10:$M$153='Dummy Table'!$B32)*('Group Stages'!$I$10:$I$153='Group Stages'!$K$10:$K$153))</f>
        <v>0</v>
      </c>
      <c r="L32" s="209">
        <f>SUMPRODUCT(('Group Stages'!$I$10:$I$153&lt;&gt;"")*('Group Stages'!$K$10:$K$153&lt;&gt;"")*('Group Stages'!$M$10:$M$153='Dummy Table'!$B32)*('Group Stages'!$I$10:$I$153&gt;'Group Stages'!$K$10:$K$153))</f>
        <v>1</v>
      </c>
      <c r="M32" s="209">
        <f>SUMIF('Group Stages'!$M$10:$M$153,'Dummy Table'!$B32,'Group Stages'!$K$10:$K$153)</f>
        <v>0</v>
      </c>
      <c r="N32" s="209">
        <f>SUMIF('Group Stages'!$M$10:$M$153,'Dummy Table'!$B32,'Group Stages'!$I$10:$I$153)</f>
        <v>0</v>
      </c>
      <c r="O32" s="209">
        <f t="shared" si="15"/>
        <v>0</v>
      </c>
      <c r="P32" s="209">
        <f t="shared" si="16"/>
        <v>3</v>
      </c>
      <c r="Q32" s="209">
        <f t="shared" si="17"/>
        <v>2</v>
      </c>
      <c r="R32" s="209">
        <f t="shared" si="18"/>
        <v>0</v>
      </c>
      <c r="S32" s="209">
        <f t="shared" si="19"/>
        <v>2</v>
      </c>
      <c r="T32" s="209">
        <f t="shared" si="20"/>
        <v>0</v>
      </c>
      <c r="U32" s="209">
        <f t="shared" si="21"/>
        <v>0</v>
      </c>
      <c r="V32" s="209">
        <f t="shared" si="22"/>
        <v>0</v>
      </c>
      <c r="W32" s="209">
        <f t="shared" si="23"/>
        <v>6</v>
      </c>
      <c r="X32" s="210">
        <f>IF('Team Setup'!F33&lt;&gt;"",'Team Setup'!F33,DI32)</f>
        <v>24000</v>
      </c>
      <c r="Y32" s="210">
        <f>RANK(W32,W$32:W$35)</f>
        <v>2</v>
      </c>
      <c r="Z32" s="210">
        <f>SUMPRODUCT((W$32:W$35=W32)*(V$32:V$35&gt;V32))</f>
        <v>0</v>
      </c>
      <c r="AA32" s="210">
        <f>SUMPRODUCT((Y$32:Y$35=Y32)*(Z$32:Z$35=Z32)*(T$32:T$35&gt;T32))</f>
        <v>0</v>
      </c>
      <c r="AB32" s="210">
        <f>SUMPRODUCT((Y$32:Y$35=Y32)*(Z$32:Z$35=Z32)*(T$32:T$35=T32)*(X$32:X$35&gt;X32))</f>
        <v>0</v>
      </c>
      <c r="AC32" s="209">
        <v>1</v>
      </c>
      <c r="AD32" s="209" t="str">
        <f>VLOOKUP(AC32,$A$32:$B$35,2,FALSE)</f>
        <v>Espanyol</v>
      </c>
      <c r="AE32" s="209">
        <f>VLOOKUP($AD32,$B$32:$W$35,22,FALSE)</f>
        <v>10</v>
      </c>
      <c r="AF32" s="209" t="str">
        <f t="shared" ref="AF32" si="122">IF(AE32=AE33,AD32,"")</f>
        <v/>
      </c>
      <c r="AG32" s="210">
        <f>SUMPRODUCT(($BK$4:$BK$147='Dummy Table'!$AF32)*($BL$4:$BL$147&gt;$BM$4:$BM$147))</f>
        <v>0</v>
      </c>
      <c r="AH32" s="210">
        <f>SUMPRODUCT(($BK$4:$BK$147='Dummy Table'!$AF32)*($BL$4:$BL$147=$BM$4:$BM$147))</f>
        <v>134</v>
      </c>
      <c r="AI32" s="210">
        <f>SUMPRODUCT(($BK$4:$BK$147='Dummy Table'!$AF32)*($BL$4:$BL$147&lt;$BM$4:$BM$147))</f>
        <v>0</v>
      </c>
      <c r="AJ32" s="210">
        <f>SUMIF($BK$4:$BK$147,'Dummy Table'!$AF32,$BL$4:$BL$147)</f>
        <v>0</v>
      </c>
      <c r="AK32" s="210">
        <f>SUMIF($BK$4:$BK$147,'Dummy Table'!$AF32,$BM$4:$BM$147)</f>
        <v>0</v>
      </c>
      <c r="AL32" s="210">
        <f t="shared" si="24"/>
        <v>0</v>
      </c>
      <c r="AM32" s="210" t="str">
        <f t="shared" si="25"/>
        <v/>
      </c>
      <c r="AN32" s="210">
        <f>SUMPRODUCT(($BN$4:$BN$147='Dummy Table'!$AF32)*($BL$4:$BL$147&lt;$BM$4:$BM$147))</f>
        <v>0</v>
      </c>
      <c r="AO32" s="210">
        <f>SUMPRODUCT(($BN$4:$BN$147='Dummy Table'!$AF32)*($BL$4:$BL$147=$BM$4:$BM$147))</f>
        <v>134</v>
      </c>
      <c r="AP32" s="210">
        <f>SUMPRODUCT(($BN$4:$BN$147='Dummy Table'!$AF32)*($BL$4:$BL$147&gt;$BM$4:$BM$147))</f>
        <v>0</v>
      </c>
      <c r="AQ32" s="210">
        <f>SUMIF($BN$4:$BN$147,'Dummy Table'!$AF32,$BM$4:$BM$147)</f>
        <v>0</v>
      </c>
      <c r="AR32" s="210">
        <f>SUMIF($BN$4:$BN$147,'Dummy Table'!$AF32,$BL$4:$BL$147)</f>
        <v>0</v>
      </c>
      <c r="AS32" s="210">
        <f t="shared" si="26"/>
        <v>0</v>
      </c>
      <c r="AT32" s="210" t="str">
        <f t="shared" si="27"/>
        <v/>
      </c>
      <c r="AU32" s="210">
        <f t="shared" si="28"/>
        <v>0</v>
      </c>
      <c r="AV32" s="210">
        <f t="shared" si="29"/>
        <v>268</v>
      </c>
      <c r="AW32" s="210">
        <f t="shared" si="30"/>
        <v>0</v>
      </c>
      <c r="AX32" s="210">
        <f t="shared" si="31"/>
        <v>0</v>
      </c>
      <c r="AY32" s="210">
        <f t="shared" si="32"/>
        <v>0</v>
      </c>
      <c r="AZ32" s="210">
        <f t="shared" si="33"/>
        <v>0</v>
      </c>
      <c r="BA32" s="210">
        <f t="shared" si="44"/>
        <v>-1</v>
      </c>
      <c r="BB32" s="209" t="str">
        <f t="shared" si="2"/>
        <v/>
      </c>
      <c r="BC32" s="209" t="str">
        <f t="shared" si="3"/>
        <v/>
      </c>
      <c r="BD32" s="209" t="str">
        <f t="shared" si="4"/>
        <v/>
      </c>
      <c r="BE32" s="209">
        <f>RANK(BA32,BA$32:BA$35)</f>
        <v>1</v>
      </c>
      <c r="BF32" s="209">
        <f>SUMPRODUCT((BA$32:BA$35=BA32)*(AZ$32:AZ$35&gt;AZ32))</f>
        <v>0</v>
      </c>
      <c r="BG32" s="209">
        <f>SUMPRODUCT((BA$32:BA$35=BA32)*(BE$32:BE$35=BE32)*(AZ$32:AZ$35=AZ32)*(AQ$32:AQ$35&gt;AQ32))</f>
        <v>0</v>
      </c>
      <c r="BH32" s="209">
        <f>SUMPRODUCT((BA$32:BA$35=BA32)*(BE$32:BE$35=BE32)*(AZ$32:AZ$35=AZ32)*(AQ$32:AQ$35=AQ32)*(BB$32:BB$35&gt;BB32))</f>
        <v>0</v>
      </c>
      <c r="BI32" s="209">
        <f>SUMPRODUCT((BA$32:BA$35=BA32)*(BE$32:BE$35=BE32)*(AZ$32:AZ$35=AZ32)*(AQ$32:AQ$35=AQ32)*(BB$32:BB$35=BB32)*(BC$32:BC$35&gt;BC32))</f>
        <v>0</v>
      </c>
      <c r="BJ32" s="209">
        <f>SUMPRODUCT((BA$32:BA$35=BA32)*(BE$32:BE$35=BE32)*(AZ$32:AZ$35=AZ32)*(AQ$32:AQ$35=AQ32)*(BB$32:BB$35=BB32)*(BC$32:BC$35=BC32)*(BD$32:BD$35&gt;BD32))</f>
        <v>0</v>
      </c>
      <c r="BK32" s="209" t="str">
        <f>IF(AND(COUNTIF($AF$4:$AF$35,'Group Stages'!G38)&gt;0,COUNTIF($AF$4:$AF$35,'Group Stages'!M38)&gt;0,'Group Stages'!I38&lt;&gt;"",'Group Stages'!K38&lt;&gt;""),'Group Stages'!G38,"")</f>
        <v/>
      </c>
      <c r="BL32" s="209" t="str">
        <f>IF($BK32&lt;&gt;"",'Group Stages'!I38,"")</f>
        <v/>
      </c>
      <c r="BM32" s="209" t="str">
        <f>IF($BK32&lt;&gt;"",'Group Stages'!K38,"")</f>
        <v/>
      </c>
      <c r="BN32" s="209" t="str">
        <f>IF($BK32&lt;&gt;"",'Group Stages'!M38,"")</f>
        <v/>
      </c>
      <c r="BO32" s="209" t="str">
        <f t="shared" si="5"/>
        <v/>
      </c>
      <c r="BP32" s="209" t="str">
        <f t="shared" si="34"/>
        <v/>
      </c>
      <c r="BQ32" s="209">
        <f>VLOOKUP($AD32,$B$32:$W$35,22,FALSE)</f>
        <v>10</v>
      </c>
      <c r="BS32" s="217">
        <f>SUMPRODUCT(($CW$4:$CW$147='Dummy Table'!$BR32)*($CX$4:$CX$147&gt;$CY$4:$CY$147))</f>
        <v>0</v>
      </c>
      <c r="BT32" s="217">
        <f>SUMPRODUCT(($CW$4:$CW$147='Dummy Table'!$BR32)*($CX$4:$CX$147=$CY$4:$CY$147))</f>
        <v>142</v>
      </c>
      <c r="BU32" s="217">
        <f>SUMPRODUCT(($CW$4:$CW$147='Dummy Table'!$BR32)*($CX$4:$CX$147&lt;$CY$4:$CY$147))</f>
        <v>0</v>
      </c>
      <c r="BV32" s="217">
        <f>SUMIF($CW$4:$CW$147,'Dummy Table'!$BR32,$CX$4:$CX$147)</f>
        <v>0</v>
      </c>
      <c r="BW32" s="217">
        <f>SUMIF($CW$4:$CW$147,'Dummy Table'!$BR32,$CY$4:$CY$147)</f>
        <v>0</v>
      </c>
      <c r="BX32" s="217">
        <f t="shared" si="35"/>
        <v>0</v>
      </c>
      <c r="BY32" s="217" t="str">
        <f t="shared" si="36"/>
        <v/>
      </c>
      <c r="BZ32" s="217">
        <f>SUMPRODUCT(($CZ$4:$CZ$147='Dummy Table'!$BR32)*($CX$4:$CX$147&lt;$CY$4:$CY$147))</f>
        <v>0</v>
      </c>
      <c r="CA32" s="217">
        <f>SUMPRODUCT(($CZ$4:$CZ$147='Dummy Table'!$BR32)*($CX$4:$CX$147=$CY$4:$CY$147))</f>
        <v>142</v>
      </c>
      <c r="CB32" s="217">
        <f>SUMPRODUCT(($CZ$4:$CZ$147='Dummy Table'!$BR32)*($CX$4:$CX$147&gt;$CY$4:$CY$147))</f>
        <v>0</v>
      </c>
      <c r="CC32" s="217">
        <f>SUMIF($CZ$4:$CZ$147,'Dummy Table'!$BR32,$CY$4:$CY$147)</f>
        <v>0</v>
      </c>
      <c r="CD32" s="217">
        <f>SUMIF($CZ$4:$CZ$147,'Dummy Table'!$BR32,$CX$4:$CX$147)</f>
        <v>0</v>
      </c>
      <c r="CE32" s="217">
        <f t="shared" si="37"/>
        <v>0</v>
      </c>
      <c r="CF32" s="217" t="str">
        <f t="shared" si="38"/>
        <v/>
      </c>
      <c r="CG32" s="217">
        <f t="shared" si="39"/>
        <v>0</v>
      </c>
      <c r="CH32" s="217">
        <f t="shared" si="6"/>
        <v>284</v>
      </c>
      <c r="CI32" s="217">
        <f t="shared" si="7"/>
        <v>0</v>
      </c>
      <c r="CJ32" s="217">
        <f t="shared" si="8"/>
        <v>0</v>
      </c>
      <c r="CK32" s="217">
        <f t="shared" si="9"/>
        <v>0</v>
      </c>
      <c r="CL32" s="217">
        <f t="shared" si="10"/>
        <v>0</v>
      </c>
      <c r="CM32" s="217">
        <f t="shared" si="45"/>
        <v>-1</v>
      </c>
      <c r="CN32" s="210">
        <f t="shared" si="40"/>
        <v>24000</v>
      </c>
      <c r="CO32" s="210">
        <f>SUMIF($CZ$4:$CZ$147,'Dummy Table'!$BR32,$CY$4:$CY$147)*2</f>
        <v>0</v>
      </c>
      <c r="CP32" s="210">
        <f>RANK(CM32,CM$32:CM$35)</f>
        <v>1</v>
      </c>
      <c r="CR32" s="210">
        <f>SUMPRODUCT((CM$32:CM$35=CM32)*(CL$32:CL$35&gt;CL32))</f>
        <v>0</v>
      </c>
      <c r="CS32" s="210">
        <f>SUMPRODUCT((CP$32:CP$35=CP32)*(CR$32:CR$35=CR32)*(CO$32:CO$35&gt;CO32))</f>
        <v>0</v>
      </c>
      <c r="CT32" s="210">
        <f>IF(BR32&lt;&gt;"",SUMPRODUCT((CP$32:CP$35=CP32)*(CR$32:CR$35=CR32)*(CS$32:CS$35=CS32)*(V$32:V$35&gt;V32)),0)</f>
        <v>0</v>
      </c>
      <c r="CU32" s="210">
        <f>IF($BR32&lt;&gt;"",SUMPRODUCT((CP$32:CP$35=CP32)*(CR$32:CR$35=CR32)*(CS$32:CS$35=CS32)*(CT$32:CT$35=CT32)*(T$32:T$35&gt;T32)),0)</f>
        <v>0</v>
      </c>
      <c r="CV32" s="210">
        <f>SUMPRODUCT((CP$32:CP$35=CP32)*(CR$32:CR$35=CR32)*(CS$32:CS$35=CS32)*(CT$32:CT$35=CT32)*(CU$32:CU$35=CU32)*(CN$32:CN$35&gt;CN32))</f>
        <v>1</v>
      </c>
      <c r="CW32" s="209" t="str">
        <f>IF(AND(COUNTIF($BR$4:$BR$35,'Group Stages'!$G38)&gt;0,COUNTIF($BR$4:$BR$35,'Group Stages'!$M38)&gt;0),'Group Stages'!$G38,"")</f>
        <v/>
      </c>
      <c r="CX32" s="209" t="str">
        <f>IF($CW32&lt;&gt;"",'Group Stages'!$I38,"")</f>
        <v/>
      </c>
      <c r="CY32" s="209" t="str">
        <f>IF($CW32&lt;&gt;"",'Group Stages'!$K38,"")</f>
        <v/>
      </c>
      <c r="CZ32" s="209" t="str">
        <f>IF($CW32&lt;&gt;"",'Group Stages'!$M38,"")</f>
        <v/>
      </c>
      <c r="DA32" s="210" t="str">
        <f t="shared" si="11"/>
        <v/>
      </c>
      <c r="DB32" s="209" t="str">
        <f t="shared" si="43"/>
        <v/>
      </c>
      <c r="DC32" s="209">
        <v>1</v>
      </c>
      <c r="DD32" s="209" t="str">
        <f t="shared" si="47"/>
        <v>Espanyol</v>
      </c>
      <c r="DE32" s="209" t="str">
        <f t="shared" ref="DE32" si="123">IF(DD32="",DC32,"")</f>
        <v/>
      </c>
      <c r="DF32" s="209" t="str">
        <f>VLOOKUP(DE32,$BO$32:$BP$35,2,FALSE)</f>
        <v/>
      </c>
      <c r="DG32" s="209">
        <v>1</v>
      </c>
      <c r="DH32" s="209" t="str">
        <f t="shared" ref="DH32:DH33" si="124">IF(DD32="",DF32,DD32)</f>
        <v>Espanyol</v>
      </c>
      <c r="DI32" s="209">
        <v>29</v>
      </c>
    </row>
    <row r="33" spans="1:113">
      <c r="A33" s="209">
        <f t="shared" si="12"/>
        <v>1</v>
      </c>
      <c r="B33" s="209" t="str">
        <f>'Team Setup'!B34</f>
        <v>Espanyol</v>
      </c>
      <c r="C33" s="210">
        <f>SUMPRODUCT(('Group Stages'!$I$10:$I$153&lt;&gt;"")*('Group Stages'!$K$10:$K$153&lt;&gt;"")*('Group Stages'!$G$10:$G$153='Dummy Table'!$B33)*('Group Stages'!$I$10:$I$153&gt;'Group Stages'!$K$10:$K$153))</f>
        <v>1</v>
      </c>
      <c r="D33" s="210">
        <f>SUMPRODUCT(('Group Stages'!$I$10:$I$153&lt;&gt;"")*('Group Stages'!$K$10:$K$153&lt;&gt;"")*('Group Stages'!$G$10:$G$153='Dummy Table'!$B33)*('Group Stages'!$I$10:$I$153='Group Stages'!$K$10:$K$153))</f>
        <v>1</v>
      </c>
      <c r="E33" s="210">
        <f>SUMPRODUCT(('Group Stages'!$I$10:$I$153&lt;&gt;"")*('Group Stages'!$K$10:$K$153&lt;&gt;"")*('Group Stages'!$G$10:$G$153='Dummy Table'!$B33)*('Group Stages'!$I$10:$I$153&lt;'Group Stages'!$K$10:$K$153))</f>
        <v>0</v>
      </c>
      <c r="F33" s="210">
        <f>SUMIF('Group Stages'!$G$10:$G$153,'Dummy Table'!$B33,'Group Stages'!$I$10:$I$153)</f>
        <v>0</v>
      </c>
      <c r="G33" s="210">
        <f>SUMIF('Group Stages'!$G$10:$G$153,'Dummy Table'!$B33,'Group Stages'!$K$10:$K$153)</f>
        <v>0</v>
      </c>
      <c r="H33" s="210">
        <f t="shared" si="13"/>
        <v>0</v>
      </c>
      <c r="I33" s="210">
        <f t="shared" si="14"/>
        <v>4</v>
      </c>
      <c r="J33" s="209">
        <f>SUMPRODUCT(('Group Stages'!$I$10:$I$153&lt;&gt;"")*('Group Stages'!$K$10:$K$153&lt;&gt;"")*('Group Stages'!$M$10:$M$153='Dummy Table'!$B33)*('Group Stages'!$I$10:$I$153&lt;'Group Stages'!$K$10:$K$153))</f>
        <v>2</v>
      </c>
      <c r="K33" s="209">
        <f>SUMPRODUCT(('Group Stages'!$I$10:$I$153&lt;&gt;"")*('Group Stages'!$K$10:$K$153&lt;&gt;"")*('Group Stages'!$M$10:$M$153='Dummy Table'!$B33)*('Group Stages'!$I$10:$I$153='Group Stages'!$K$10:$K$153))</f>
        <v>0</v>
      </c>
      <c r="L33" s="209">
        <f>SUMPRODUCT(('Group Stages'!$I$10:$I$153&lt;&gt;"")*('Group Stages'!$K$10:$K$153&lt;&gt;"")*('Group Stages'!$M$10:$M$153='Dummy Table'!$B33)*('Group Stages'!$I$10:$I$153&gt;'Group Stages'!$K$10:$K$153))</f>
        <v>0</v>
      </c>
      <c r="M33" s="209">
        <f>SUMIF('Group Stages'!$M$10:$M$153,'Dummy Table'!$B33,'Group Stages'!$K$10:$K$153)</f>
        <v>0</v>
      </c>
      <c r="N33" s="209">
        <f>SUMIF('Group Stages'!$M$10:$M$153,'Dummy Table'!$B33,'Group Stages'!$I$10:$I$153)</f>
        <v>0</v>
      </c>
      <c r="O33" s="209">
        <f t="shared" si="15"/>
        <v>0</v>
      </c>
      <c r="P33" s="209">
        <f t="shared" si="16"/>
        <v>6</v>
      </c>
      <c r="Q33" s="209">
        <f t="shared" si="17"/>
        <v>3</v>
      </c>
      <c r="R33" s="209">
        <f t="shared" si="18"/>
        <v>1</v>
      </c>
      <c r="S33" s="209">
        <f t="shared" si="19"/>
        <v>0</v>
      </c>
      <c r="T33" s="209">
        <f t="shared" si="20"/>
        <v>0</v>
      </c>
      <c r="U33" s="209">
        <f t="shared" si="21"/>
        <v>0</v>
      </c>
      <c r="V33" s="209">
        <f t="shared" si="22"/>
        <v>0</v>
      </c>
      <c r="W33" s="209">
        <f t="shared" si="23"/>
        <v>10</v>
      </c>
      <c r="X33" s="210">
        <f>IF('Team Setup'!F34&lt;&gt;"",'Team Setup'!F34,DI33)</f>
        <v>7000</v>
      </c>
      <c r="Y33" s="210">
        <f>RANK(W33,W$32:W$35)</f>
        <v>1</v>
      </c>
      <c r="Z33" s="210">
        <f>SUMPRODUCT((W$32:W$35=W33)*(V$32:V$35&gt;V33))</f>
        <v>0</v>
      </c>
      <c r="AA33" s="210">
        <f>SUMPRODUCT((Y$32:Y$35=Y33)*(Z$32:Z$35=Z33)*(T$32:T$35&gt;T33))</f>
        <v>0</v>
      </c>
      <c r="AB33" s="210">
        <f>SUMPRODUCT((Y$32:Y$35=Y33)*(Z$32:Z$35=Z33)*(T$32:T$35=T33)*(X$32:X$35&gt;X33))</f>
        <v>0</v>
      </c>
      <c r="AC33" s="209">
        <v>2</v>
      </c>
      <c r="AD33" s="209" t="str">
        <f>VLOOKUP(AC33,$A$32:$B$35,2,FALSE)</f>
        <v>PFC Ludogorets Razgrad</v>
      </c>
      <c r="AE33" s="209">
        <f>VLOOKUP($AD33,$B$32:$W$35,22,FALSE)</f>
        <v>6</v>
      </c>
      <c r="AF33" s="209" t="str">
        <f t="shared" ref="AF33" si="125">IF(OR(AE33=AE32,AE33=AE34),AD33,"")</f>
        <v/>
      </c>
      <c r="AG33" s="210">
        <f>SUMPRODUCT(($BK$4:$BK$147='Dummy Table'!$AF33)*($BL$4:$BL$147&gt;$BM$4:$BM$147))</f>
        <v>0</v>
      </c>
      <c r="AH33" s="210">
        <f>SUMPRODUCT(($BK$4:$BK$147='Dummy Table'!$AF33)*($BL$4:$BL$147=$BM$4:$BM$147))</f>
        <v>134</v>
      </c>
      <c r="AI33" s="210">
        <f>SUMPRODUCT(($BK$4:$BK$147='Dummy Table'!$AF33)*($BL$4:$BL$147&lt;$BM$4:$BM$147))</f>
        <v>0</v>
      </c>
      <c r="AJ33" s="210">
        <f>SUMIF($BK$4:$BK$147,'Dummy Table'!$AF33,$BL$4:$BL$147)</f>
        <v>0</v>
      </c>
      <c r="AK33" s="210">
        <f>SUMIF($BK$4:$BK$147,'Dummy Table'!$AF33,$BM$4:$BM$147)</f>
        <v>0</v>
      </c>
      <c r="AL33" s="210">
        <f t="shared" si="24"/>
        <v>0</v>
      </c>
      <c r="AM33" s="210" t="str">
        <f t="shared" si="25"/>
        <v/>
      </c>
      <c r="AN33" s="210">
        <f>SUMPRODUCT(($BN$4:$BN$147='Dummy Table'!$AF33)*($BL$4:$BL$147&lt;$BM$4:$BM$147))</f>
        <v>0</v>
      </c>
      <c r="AO33" s="210">
        <f>SUMPRODUCT(($BN$4:$BN$147='Dummy Table'!$AF33)*($BL$4:$BL$147=$BM$4:$BM$147))</f>
        <v>134</v>
      </c>
      <c r="AP33" s="210">
        <f>SUMPRODUCT(($BN$4:$BN$147='Dummy Table'!$AF33)*($BL$4:$BL$147&gt;$BM$4:$BM$147))</f>
        <v>0</v>
      </c>
      <c r="AQ33" s="210">
        <f>SUMIF($BN$4:$BN$147,'Dummy Table'!$AF33,$BM$4:$BM$147)</f>
        <v>0</v>
      </c>
      <c r="AR33" s="210">
        <f>SUMIF($BN$4:$BN$147,'Dummy Table'!$AF33,$BL$4:$BL$147)</f>
        <v>0</v>
      </c>
      <c r="AS33" s="210">
        <f t="shared" si="26"/>
        <v>0</v>
      </c>
      <c r="AT33" s="210" t="str">
        <f t="shared" si="27"/>
        <v/>
      </c>
      <c r="AU33" s="210">
        <f t="shared" si="28"/>
        <v>0</v>
      </c>
      <c r="AV33" s="210">
        <f t="shared" si="29"/>
        <v>268</v>
      </c>
      <c r="AW33" s="210">
        <f t="shared" si="30"/>
        <v>0</v>
      </c>
      <c r="AX33" s="210">
        <f t="shared" si="31"/>
        <v>0</v>
      </c>
      <c r="AY33" s="210">
        <f t="shared" si="32"/>
        <v>0</v>
      </c>
      <c r="AZ33" s="210">
        <f t="shared" si="33"/>
        <v>0</v>
      </c>
      <c r="BA33" s="210">
        <f t="shared" si="44"/>
        <v>-1</v>
      </c>
      <c r="BB33" s="209" t="str">
        <f t="shared" si="2"/>
        <v/>
      </c>
      <c r="BC33" s="209" t="str">
        <f t="shared" si="3"/>
        <v/>
      </c>
      <c r="BD33" s="209" t="str">
        <f t="shared" si="4"/>
        <v/>
      </c>
      <c r="BE33" s="209">
        <f>RANK(BA33,BA$32:BA$35)</f>
        <v>1</v>
      </c>
      <c r="BF33" s="209">
        <f>SUMPRODUCT((BA$32:BA$35=BA33)*(AZ$32:AZ$35&gt;AZ33))</f>
        <v>0</v>
      </c>
      <c r="BG33" s="209">
        <f>SUMPRODUCT((BA$32:BA$35=BA33)*(BE$32:BE$35=BE33)*(AZ$32:AZ$35=AZ33)*(AQ$32:AQ$35&gt;AQ33))</f>
        <v>0</v>
      </c>
      <c r="BH33" s="209">
        <f>SUMPRODUCT((BA$32:BA$35=BA33)*(BE$32:BE$35=BE33)*(AZ$32:AZ$35=AZ33)*(AQ$32:AQ$35=AQ33)*(BB$32:BB$35&gt;BB33))</f>
        <v>0</v>
      </c>
      <c r="BI33" s="209">
        <f>SUMPRODUCT((BA$32:BA$35=BA33)*(BE$32:BE$35=BE33)*(AZ$32:AZ$35=AZ33)*(AQ$32:AQ$35=AQ33)*(BB$32:BB$35=BB33)*(BC$32:BC$35&gt;BC33))</f>
        <v>0</v>
      </c>
      <c r="BJ33" s="209">
        <f>SUMPRODUCT((BA$32:BA$35=BA33)*(BE$32:BE$35=BE33)*(AZ$32:AZ$35=AZ33)*(AQ$32:AQ$35=AQ33)*(BB$32:BB$35=BB33)*(BC$32:BC$35=BC33)*(BD$32:BD$35&gt;BD33))</f>
        <v>0</v>
      </c>
      <c r="BK33" s="209" t="str">
        <f>IF(AND(COUNTIF($AF$4:$AF$35,'Group Stages'!G39)&gt;0,COUNTIF($AF$4:$AF$35,'Group Stages'!M39)&gt;0,'Group Stages'!I39&lt;&gt;"",'Group Stages'!K39&lt;&gt;""),'Group Stages'!G39,"")</f>
        <v>FK Krasnodar</v>
      </c>
      <c r="BL33" s="209" t="str">
        <f>IF($BK33&lt;&gt;"",'Group Stages'!I39,"")</f>
        <v>1</v>
      </c>
      <c r="BM33" s="209" t="str">
        <f>IF($BK33&lt;&gt;"",'Group Stages'!K39,"")</f>
        <v>2</v>
      </c>
      <c r="BN33" s="209" t="str">
        <f>IF($BK33&lt;&gt;"",'Group Stages'!M39,"")</f>
        <v>Getafe CF</v>
      </c>
      <c r="BO33" s="209" t="str">
        <f t="shared" si="5"/>
        <v/>
      </c>
      <c r="BP33" s="209" t="str">
        <f t="shared" si="34"/>
        <v/>
      </c>
      <c r="BQ33" s="209">
        <f>VLOOKUP($AD33,$B$32:$W$35,22,FALSE)</f>
        <v>6</v>
      </c>
      <c r="BS33" s="217">
        <f>SUMPRODUCT(($CW$4:$CW$147='Dummy Table'!$BR33)*($CX$4:$CX$147&gt;$CY$4:$CY$147))</f>
        <v>0</v>
      </c>
      <c r="BT33" s="217">
        <f>SUMPRODUCT(($CW$4:$CW$147='Dummy Table'!$BR33)*($CX$4:$CX$147=$CY$4:$CY$147))</f>
        <v>142</v>
      </c>
      <c r="BU33" s="217">
        <f>SUMPRODUCT(($CW$4:$CW$147='Dummy Table'!$BR33)*($CX$4:$CX$147&lt;$CY$4:$CY$147))</f>
        <v>0</v>
      </c>
      <c r="BV33" s="217">
        <f>SUMIF($CW$4:$CW$147,'Dummy Table'!$BR33,$CX$4:$CX$147)</f>
        <v>0</v>
      </c>
      <c r="BW33" s="217">
        <f>SUMIF($CW$4:$CW$147,'Dummy Table'!$BR33,$CY$4:$CY$147)</f>
        <v>0</v>
      </c>
      <c r="BX33" s="217">
        <f t="shared" si="35"/>
        <v>0</v>
      </c>
      <c r="BY33" s="217" t="str">
        <f t="shared" si="36"/>
        <v/>
      </c>
      <c r="BZ33" s="217">
        <f>SUMPRODUCT(($CZ$4:$CZ$147='Dummy Table'!$BR33)*($CX$4:$CX$147&lt;$CY$4:$CY$147))</f>
        <v>0</v>
      </c>
      <c r="CA33" s="217">
        <f>SUMPRODUCT(($CZ$4:$CZ$147='Dummy Table'!$BR33)*($CX$4:$CX$147=$CY$4:$CY$147))</f>
        <v>142</v>
      </c>
      <c r="CB33" s="217">
        <f>SUMPRODUCT(($CZ$4:$CZ$147='Dummy Table'!$BR33)*($CX$4:$CX$147&gt;$CY$4:$CY$147))</f>
        <v>0</v>
      </c>
      <c r="CC33" s="217">
        <f>SUMIF($CZ$4:$CZ$147,'Dummy Table'!$BR33,$CY$4:$CY$147)</f>
        <v>0</v>
      </c>
      <c r="CD33" s="217">
        <f>SUMIF($CZ$4:$CZ$147,'Dummy Table'!$BR33,$CX$4:$CX$147)</f>
        <v>0</v>
      </c>
      <c r="CE33" s="217">
        <f t="shared" si="37"/>
        <v>0</v>
      </c>
      <c r="CF33" s="217" t="str">
        <f t="shared" si="38"/>
        <v/>
      </c>
      <c r="CG33" s="217">
        <f t="shared" si="39"/>
        <v>0</v>
      </c>
      <c r="CH33" s="217">
        <f t="shared" si="6"/>
        <v>284</v>
      </c>
      <c r="CI33" s="217">
        <f t="shared" si="7"/>
        <v>0</v>
      </c>
      <c r="CJ33" s="217">
        <f t="shared" si="8"/>
        <v>0</v>
      </c>
      <c r="CK33" s="217">
        <f t="shared" si="9"/>
        <v>0</v>
      </c>
      <c r="CL33" s="217">
        <f t="shared" si="10"/>
        <v>0</v>
      </c>
      <c r="CM33" s="217">
        <f t="shared" si="45"/>
        <v>-1</v>
      </c>
      <c r="CN33" s="210">
        <f t="shared" si="40"/>
        <v>7000</v>
      </c>
      <c r="CO33" s="210">
        <f>SUMIF($CZ$4:$CZ$147,'Dummy Table'!$BR33,$CY$4:$CY$147)*2</f>
        <v>0</v>
      </c>
      <c r="CP33" s="210">
        <f>RANK(CM33,CM$32:CM$35)</f>
        <v>1</v>
      </c>
      <c r="CR33" s="210">
        <f>SUMPRODUCT((CM$32:CM$35=CM33)*(CL$32:CL$35&gt;CL33))</f>
        <v>0</v>
      </c>
      <c r="CS33" s="210">
        <f>SUMPRODUCT((CP$32:CP$35=CP33)*(CR$32:CR$35=CR33)*(CO$32:CO$35&gt;CO33))</f>
        <v>0</v>
      </c>
      <c r="CT33" s="210">
        <f>IF(BR33&lt;&gt;"",SUMPRODUCT((CP$32:CP$35=CP33)*(CR$32:CR$35=CR33)*(CS$32:CS$35=CS33)*(V$32:V$35&gt;V33)),0)</f>
        <v>0</v>
      </c>
      <c r="CU33" s="210">
        <f>IF($BR33&lt;&gt;"",SUMPRODUCT((CP$32:CP$35=CP33)*(CR$32:CR$35=CR33)*(CS$32:CS$35=CS33)*(CT$32:CT$35=CT33)*(T$32:T$35&gt;T33)),0)</f>
        <v>0</v>
      </c>
      <c r="CV33" s="210">
        <f>SUMPRODUCT((CP$32:CP$35=CP33)*(CR$32:CR$35=CR33)*(CS$32:CS$35=CS33)*(CT$32:CT$35=CT33)*(CU$32:CU$35=CU33)*(CN$32:CN$35&gt;CN33))</f>
        <v>2</v>
      </c>
      <c r="CW33" s="209" t="str">
        <f>IF(AND(COUNTIF($BR$4:$BR$35,'Group Stages'!$G39)&gt;0,COUNTIF($BR$4:$BR$35,'Group Stages'!$M39)&gt;0),'Group Stages'!$G39,"")</f>
        <v/>
      </c>
      <c r="CX33" s="209" t="str">
        <f>IF($CW33&lt;&gt;"",'Group Stages'!$I39,"")</f>
        <v/>
      </c>
      <c r="CY33" s="209" t="str">
        <f>IF($CW33&lt;&gt;"",'Group Stages'!$K39,"")</f>
        <v/>
      </c>
      <c r="CZ33" s="209" t="str">
        <f>IF($CW33&lt;&gt;"",'Group Stages'!$M39,"")</f>
        <v/>
      </c>
      <c r="DA33" s="210" t="str">
        <f t="shared" si="11"/>
        <v/>
      </c>
      <c r="DB33" s="209" t="str">
        <f t="shared" si="43"/>
        <v/>
      </c>
      <c r="DC33" s="209">
        <v>2</v>
      </c>
      <c r="DD33" s="209" t="str">
        <f t="shared" si="47"/>
        <v>PFC Ludogorets Razgrad</v>
      </c>
      <c r="DE33" s="209" t="str">
        <f t="shared" ref="DE33" si="126">IF(AND(DD33="",DD32=""),DC33,IF(AND(DD32&lt;&gt;"",DD33=""),1,""))</f>
        <v/>
      </c>
      <c r="DF33" s="209" t="str">
        <f>VLOOKUP(DE33,$BO$32:$BP$35,2,FALSE)</f>
        <v/>
      </c>
      <c r="DG33" s="209">
        <v>2</v>
      </c>
      <c r="DH33" s="209" t="str">
        <f t="shared" si="124"/>
        <v>PFC Ludogorets Razgrad</v>
      </c>
      <c r="DI33" s="209">
        <v>30</v>
      </c>
    </row>
    <row r="34" spans="1:113">
      <c r="A34" s="209">
        <f t="shared" si="12"/>
        <v>4</v>
      </c>
      <c r="B34" s="209" t="str">
        <f>'Team Setup'!B35</f>
        <v>CSKA Moskva</v>
      </c>
      <c r="C34" s="210">
        <f>SUMPRODUCT(('Group Stages'!$I$10:$I$153&lt;&gt;"")*('Group Stages'!$K$10:$K$153&lt;&gt;"")*('Group Stages'!$G$10:$G$153='Dummy Table'!$B34)*('Group Stages'!$I$10:$I$153&gt;'Group Stages'!$K$10:$K$153))</f>
        <v>0</v>
      </c>
      <c r="D34" s="210">
        <f>SUMPRODUCT(('Group Stages'!$I$10:$I$153&lt;&gt;"")*('Group Stages'!$K$10:$K$153&lt;&gt;"")*('Group Stages'!$G$10:$G$153='Dummy Table'!$B34)*('Group Stages'!$I$10:$I$153='Group Stages'!$K$10:$K$153))</f>
        <v>0</v>
      </c>
      <c r="E34" s="210">
        <f>SUMPRODUCT(('Group Stages'!$I$10:$I$153&lt;&gt;"")*('Group Stages'!$K$10:$K$153&lt;&gt;"")*('Group Stages'!$G$10:$G$153='Dummy Table'!$B34)*('Group Stages'!$I$10:$I$153&lt;'Group Stages'!$K$10:$K$153))</f>
        <v>2</v>
      </c>
      <c r="F34" s="210">
        <f>SUMIF('Group Stages'!$G$10:$G$153,'Dummy Table'!$B34,'Group Stages'!$I$10:$I$153)</f>
        <v>0</v>
      </c>
      <c r="G34" s="210">
        <f>SUMIF('Group Stages'!$G$10:$G$153,'Dummy Table'!$B34,'Group Stages'!$K$10:$K$153)</f>
        <v>0</v>
      </c>
      <c r="H34" s="210">
        <f t="shared" si="13"/>
        <v>0</v>
      </c>
      <c r="I34" s="210">
        <f t="shared" si="14"/>
        <v>0</v>
      </c>
      <c r="J34" s="209">
        <f>SUMPRODUCT(('Group Stages'!$I$10:$I$153&lt;&gt;"")*('Group Stages'!$K$10:$K$153&lt;&gt;"")*('Group Stages'!$M$10:$M$153='Dummy Table'!$B34)*('Group Stages'!$I$10:$I$153&lt;'Group Stages'!$K$10:$K$153))</f>
        <v>0</v>
      </c>
      <c r="K34" s="209">
        <f>SUMPRODUCT(('Group Stages'!$I$10:$I$153&lt;&gt;"")*('Group Stages'!$K$10:$K$153&lt;&gt;"")*('Group Stages'!$M$10:$M$153='Dummy Table'!$B34)*('Group Stages'!$I$10:$I$153='Group Stages'!$K$10:$K$153))</f>
        <v>1</v>
      </c>
      <c r="L34" s="209">
        <f>SUMPRODUCT(('Group Stages'!$I$10:$I$153&lt;&gt;"")*('Group Stages'!$K$10:$K$153&lt;&gt;"")*('Group Stages'!$M$10:$M$153='Dummy Table'!$B34)*('Group Stages'!$I$10:$I$153&gt;'Group Stages'!$K$10:$K$153))</f>
        <v>1</v>
      </c>
      <c r="M34" s="209">
        <f>SUMIF('Group Stages'!$M$10:$M$153,'Dummy Table'!$B34,'Group Stages'!$K$10:$K$153)</f>
        <v>0</v>
      </c>
      <c r="N34" s="209">
        <f>SUMIF('Group Stages'!$M$10:$M$153,'Dummy Table'!$B34,'Group Stages'!$I$10:$I$153)</f>
        <v>0</v>
      </c>
      <c r="O34" s="209">
        <f t="shared" si="15"/>
        <v>0</v>
      </c>
      <c r="P34" s="209">
        <f t="shared" si="16"/>
        <v>1</v>
      </c>
      <c r="Q34" s="209">
        <f t="shared" si="17"/>
        <v>0</v>
      </c>
      <c r="R34" s="209">
        <f t="shared" si="18"/>
        <v>1</v>
      </c>
      <c r="S34" s="209">
        <f t="shared" si="19"/>
        <v>3</v>
      </c>
      <c r="T34" s="209">
        <f t="shared" si="20"/>
        <v>0</v>
      </c>
      <c r="U34" s="209">
        <f t="shared" si="21"/>
        <v>0</v>
      </c>
      <c r="V34" s="209">
        <f t="shared" si="22"/>
        <v>0</v>
      </c>
      <c r="W34" s="209">
        <f t="shared" si="23"/>
        <v>1</v>
      </c>
      <c r="X34" s="210">
        <f>IF('Team Setup'!F35&lt;&gt;"",'Team Setup'!F35,DI34)</f>
        <v>41000</v>
      </c>
      <c r="Y34" s="210">
        <f>RANK(W34,W$32:W$35)</f>
        <v>4</v>
      </c>
      <c r="Z34" s="210">
        <f>SUMPRODUCT((W$32:W$35=W34)*(V$32:V$35&gt;V34))</f>
        <v>0</v>
      </c>
      <c r="AA34" s="210">
        <f>SUMPRODUCT((Y$32:Y$35=Y34)*(Z$32:Z$35=Z34)*(T$32:T$35&gt;T34))</f>
        <v>0</v>
      </c>
      <c r="AB34" s="210">
        <f>SUMPRODUCT((Y$32:Y$35=Y34)*(Z$32:Z$35=Z34)*(T$32:T$35=T34)*(X$32:X$35&gt;X34))</f>
        <v>0</v>
      </c>
      <c r="AC34" s="209">
        <v>3</v>
      </c>
      <c r="AD34" s="209" t="str">
        <f>VLOOKUP(AC34,$A$32:$B$35,2,FALSE)</f>
        <v>Ferencvárosi TC</v>
      </c>
      <c r="AE34" s="209">
        <f>VLOOKUP($AD34,$B$32:$W$35,22,FALSE)</f>
        <v>5</v>
      </c>
      <c r="AF34" s="209" t="str">
        <f t="shared" ref="AF34" si="127">IF(AE34=AE33,AD34,"")</f>
        <v/>
      </c>
      <c r="AG34" s="210">
        <f>SUMPRODUCT(($BK$4:$BK$147='Dummy Table'!$AF34)*($BL$4:$BL$147&gt;$BM$4:$BM$147))</f>
        <v>0</v>
      </c>
      <c r="AH34" s="210">
        <f>SUMPRODUCT(($BK$4:$BK$147='Dummy Table'!$AF34)*($BL$4:$BL$147=$BM$4:$BM$147))</f>
        <v>134</v>
      </c>
      <c r="AI34" s="210">
        <f>SUMPRODUCT(($BK$4:$BK$147='Dummy Table'!$AF34)*($BL$4:$BL$147&lt;$BM$4:$BM$147))</f>
        <v>0</v>
      </c>
      <c r="AJ34" s="210">
        <f>SUMIF($BK$4:$BK$147,'Dummy Table'!$AF34,$BL$4:$BL$147)</f>
        <v>0</v>
      </c>
      <c r="AK34" s="210">
        <f>SUMIF($BK$4:$BK$147,'Dummy Table'!$AF34,$BM$4:$BM$147)</f>
        <v>0</v>
      </c>
      <c r="AL34" s="210">
        <f t="shared" si="24"/>
        <v>0</v>
      </c>
      <c r="AM34" s="210" t="str">
        <f t="shared" si="25"/>
        <v/>
      </c>
      <c r="AN34" s="210">
        <f>SUMPRODUCT(($BN$4:$BN$147='Dummy Table'!$AF34)*($BL$4:$BL$147&lt;$BM$4:$BM$147))</f>
        <v>0</v>
      </c>
      <c r="AO34" s="210">
        <f>SUMPRODUCT(($BN$4:$BN$147='Dummy Table'!$AF34)*($BL$4:$BL$147=$BM$4:$BM$147))</f>
        <v>134</v>
      </c>
      <c r="AP34" s="210">
        <f>SUMPRODUCT(($BN$4:$BN$147='Dummy Table'!$AF34)*($BL$4:$BL$147&gt;$BM$4:$BM$147))</f>
        <v>0</v>
      </c>
      <c r="AQ34" s="210">
        <f>SUMIF($BN$4:$BN$147,'Dummy Table'!$AF34,$BM$4:$BM$147)</f>
        <v>0</v>
      </c>
      <c r="AR34" s="210">
        <f>SUMIF($BN$4:$BN$147,'Dummy Table'!$AF34,$BL$4:$BL$147)</f>
        <v>0</v>
      </c>
      <c r="AS34" s="210">
        <f t="shared" si="26"/>
        <v>0</v>
      </c>
      <c r="AT34" s="210" t="str">
        <f t="shared" si="27"/>
        <v/>
      </c>
      <c r="AU34" s="210">
        <f t="shared" si="28"/>
        <v>0</v>
      </c>
      <c r="AV34" s="210">
        <f t="shared" si="29"/>
        <v>268</v>
      </c>
      <c r="AW34" s="210">
        <f t="shared" si="30"/>
        <v>0</v>
      </c>
      <c r="AX34" s="210">
        <f t="shared" si="31"/>
        <v>0</v>
      </c>
      <c r="AY34" s="210">
        <f t="shared" si="32"/>
        <v>0</v>
      </c>
      <c r="AZ34" s="210">
        <f t="shared" si="33"/>
        <v>0</v>
      </c>
      <c r="BA34" s="210">
        <f t="shared" si="44"/>
        <v>-1</v>
      </c>
      <c r="BB34" s="209" t="str">
        <f t="shared" si="2"/>
        <v/>
      </c>
      <c r="BC34" s="209" t="str">
        <f t="shared" si="3"/>
        <v/>
      </c>
      <c r="BD34" s="209" t="str">
        <f t="shared" si="4"/>
        <v/>
      </c>
      <c r="BE34" s="209">
        <f>RANK(BA34,BA$32:BA$35)</f>
        <v>1</v>
      </c>
      <c r="BF34" s="209">
        <f>SUMPRODUCT((BA$32:BA$35=BA34)*(AZ$32:AZ$35&gt;AZ34))</f>
        <v>0</v>
      </c>
      <c r="BG34" s="209">
        <f>SUMPRODUCT((BA$32:BA$35=BA34)*(BE$32:BE$35=BE34)*(AZ$32:AZ$35=AZ34)*(AQ$32:AQ$35&gt;AQ34))</f>
        <v>0</v>
      </c>
      <c r="BH34" s="209">
        <f>SUMPRODUCT((BA$32:BA$35=BA34)*(BE$32:BE$35=BE34)*(AZ$32:AZ$35=AZ34)*(AQ$32:AQ$35=AQ34)*(BB$32:BB$35&gt;BB34))</f>
        <v>0</v>
      </c>
      <c r="BI34" s="209">
        <f>SUMPRODUCT((BA$32:BA$35=BA34)*(BE$32:BE$35=BE34)*(AZ$32:AZ$35=AZ34)*(AQ$32:AQ$35=AQ34)*(BB$32:BB$35=BB34)*(BC$32:BC$35&gt;BC34))</f>
        <v>0</v>
      </c>
      <c r="BJ34" s="209">
        <f>SUMPRODUCT((BA$32:BA$35=BA34)*(BE$32:BE$35=BE34)*(AZ$32:AZ$35=AZ34)*(AQ$32:AQ$35=AQ34)*(BB$32:BB$35=BB34)*(BC$32:BC$35=BC34)*(BD$32:BD$35&gt;BD34))</f>
        <v>0</v>
      </c>
      <c r="BK34" s="209" t="str">
        <f>IF(AND(COUNTIF($AF$4:$AF$35,'Group Stages'!G40)&gt;0,COUNTIF($AF$4:$AF$35,'Group Stages'!M40)&gt;0,'Group Stages'!I40&lt;&gt;"",'Group Stages'!K40&lt;&gt;""),'Group Stages'!G40,"")</f>
        <v/>
      </c>
      <c r="BL34" s="209" t="str">
        <f>IF($BK34&lt;&gt;"",'Group Stages'!I40,"")</f>
        <v/>
      </c>
      <c r="BM34" s="209" t="str">
        <f>IF($BK34&lt;&gt;"",'Group Stages'!K40,"")</f>
        <v/>
      </c>
      <c r="BN34" s="209" t="str">
        <f>IF($BK34&lt;&gt;"",'Group Stages'!M40,"")</f>
        <v/>
      </c>
      <c r="BO34" s="209" t="str">
        <f t="shared" si="5"/>
        <v/>
      </c>
      <c r="BP34" s="209" t="str">
        <f t="shared" si="34"/>
        <v/>
      </c>
      <c r="BQ34" s="209">
        <f>VLOOKUP($AD34,$B$32:$W$35,22,FALSE)</f>
        <v>5</v>
      </c>
      <c r="BR34" s="209" t="str">
        <f t="shared" ref="BR34" si="128">IF(AND(BQ34&lt;&gt;BQ33,BQ34=BQ35),AD34,"")</f>
        <v/>
      </c>
      <c r="BS34" s="217">
        <f>SUMPRODUCT(($CW$4:$CW$147='Dummy Table'!$BR34)*($CX$4:$CX$147&gt;$CY$4:$CY$147))</f>
        <v>0</v>
      </c>
      <c r="BT34" s="217">
        <f>SUMPRODUCT(($CW$4:$CW$147='Dummy Table'!$BR34)*($CX$4:$CX$147=$CY$4:$CY$147))</f>
        <v>142</v>
      </c>
      <c r="BU34" s="217">
        <f>SUMPRODUCT(($CW$4:$CW$147='Dummy Table'!$BR34)*($CX$4:$CX$147&lt;$CY$4:$CY$147))</f>
        <v>0</v>
      </c>
      <c r="BV34" s="217">
        <f>SUMIF($CW$4:$CW$147,'Dummy Table'!$BR34,$CX$4:$CX$147)</f>
        <v>0</v>
      </c>
      <c r="BW34" s="217">
        <f>SUMIF($CW$4:$CW$147,'Dummy Table'!$BR34,$CY$4:$CY$147)</f>
        <v>0</v>
      </c>
      <c r="BX34" s="217">
        <f t="shared" si="35"/>
        <v>0</v>
      </c>
      <c r="BY34" s="217" t="str">
        <f t="shared" si="36"/>
        <v/>
      </c>
      <c r="BZ34" s="217">
        <f>SUMPRODUCT(($CZ$4:$CZ$147='Dummy Table'!$BR34)*($CX$4:$CX$147&lt;$CY$4:$CY$147))</f>
        <v>0</v>
      </c>
      <c r="CA34" s="217">
        <f>SUMPRODUCT(($CZ$4:$CZ$147='Dummy Table'!$BR34)*($CX$4:$CX$147=$CY$4:$CY$147))</f>
        <v>142</v>
      </c>
      <c r="CB34" s="217">
        <f>SUMPRODUCT(($CZ$4:$CZ$147='Dummy Table'!$BR34)*($CX$4:$CX$147&gt;$CY$4:$CY$147))</f>
        <v>0</v>
      </c>
      <c r="CC34" s="217">
        <f>SUMIF($CZ$4:$CZ$147,'Dummy Table'!$BR34,$CY$4:$CY$147)</f>
        <v>0</v>
      </c>
      <c r="CD34" s="217">
        <f>SUMIF($CZ$4:$CZ$147,'Dummy Table'!$BR34,$CX$4:$CX$147)</f>
        <v>0</v>
      </c>
      <c r="CE34" s="217">
        <f t="shared" si="37"/>
        <v>0</v>
      </c>
      <c r="CF34" s="217" t="str">
        <f t="shared" si="38"/>
        <v/>
      </c>
      <c r="CG34" s="217">
        <f t="shared" si="39"/>
        <v>0</v>
      </c>
      <c r="CH34" s="217">
        <f t="shared" si="6"/>
        <v>284</v>
      </c>
      <c r="CI34" s="217">
        <f t="shared" si="7"/>
        <v>0</v>
      </c>
      <c r="CJ34" s="217">
        <f t="shared" si="8"/>
        <v>0</v>
      </c>
      <c r="CK34" s="217">
        <f t="shared" si="9"/>
        <v>0</v>
      </c>
      <c r="CL34" s="217">
        <f t="shared" si="10"/>
        <v>0</v>
      </c>
      <c r="CM34" s="217">
        <f t="shared" si="45"/>
        <v>-1</v>
      </c>
      <c r="CN34" s="210">
        <f t="shared" si="40"/>
        <v>41000</v>
      </c>
      <c r="CO34" s="210">
        <f>SUMIF($CZ$4:$CZ$147,'Dummy Table'!$BR34,$CY$4:$CY$147)*2</f>
        <v>0</v>
      </c>
      <c r="CP34" s="210">
        <f>RANK(CM34,CM$32:CM$35)</f>
        <v>1</v>
      </c>
      <c r="CR34" s="210">
        <f>SUMPRODUCT((CM$32:CM$35=CM34)*(CL$32:CL$35&gt;CL34))</f>
        <v>0</v>
      </c>
      <c r="CS34" s="210">
        <f>SUMPRODUCT((CP$32:CP$35=CP34)*(CR$32:CR$35=CR34)*(CO$32:CO$35&gt;CO34))</f>
        <v>0</v>
      </c>
      <c r="CT34" s="210">
        <f>IF(BR34&lt;&gt;"",SUMPRODUCT((CP$32:CP$35=CP34)*(CR$32:CR$35=CR34)*(CS$32:CS$35=CS34)*(V$32:V$35&gt;V34)),0)</f>
        <v>0</v>
      </c>
      <c r="CU34" s="210">
        <f>IF($BR34&lt;&gt;"",SUMPRODUCT((CP$32:CP$35=CP34)*(CR$32:CR$35=CR34)*(CS$32:CS$35=CS34)*(CT$32:CT$35=CT34)*(T$32:T$35&gt;T34)),0)</f>
        <v>0</v>
      </c>
      <c r="CV34" s="210">
        <f>SUMPRODUCT((CP$32:CP$35=CP34)*(CR$32:CR$35=CR34)*(CS$32:CS$35=CS34)*(CT$32:CT$35=CT34)*(CU$32:CU$35=CU34)*(CN$32:CN$35&gt;CN34))</f>
        <v>0</v>
      </c>
      <c r="CW34" s="209" t="str">
        <f>IF(AND(COUNTIF($BR$4:$BR$35,'Group Stages'!$G40)&gt;0,COUNTIF($BR$4:$BR$35,'Group Stages'!$M40)&gt;0),'Group Stages'!$G40,"")</f>
        <v/>
      </c>
      <c r="CX34" s="209" t="str">
        <f>IF($CW34&lt;&gt;"",'Group Stages'!$I40,"")</f>
        <v/>
      </c>
      <c r="CY34" s="209" t="str">
        <f>IF($CW34&lt;&gt;"",'Group Stages'!$K40,"")</f>
        <v/>
      </c>
      <c r="CZ34" s="209" t="str">
        <f>IF($CW34&lt;&gt;"",'Group Stages'!$M40,"")</f>
        <v/>
      </c>
      <c r="DA34" s="210" t="str">
        <f t="shared" si="11"/>
        <v/>
      </c>
      <c r="DB34" s="209" t="str">
        <f t="shared" si="43"/>
        <v/>
      </c>
      <c r="DC34" s="209">
        <v>3</v>
      </c>
      <c r="DD34" s="209" t="str">
        <f t="shared" si="47"/>
        <v>Ferencvárosi TC</v>
      </c>
      <c r="DE34" s="209" t="str">
        <f t="shared" ref="DE34" si="129">IF(AND(DD34="",DD33="",DD32=""),DC34,IF(AND(DD32&lt;&gt;"",DD33="",DD34=""),2,IF(AND(DD32&lt;&gt;"",DD33&lt;&gt;"",DD34=""),1,"")))</f>
        <v/>
      </c>
      <c r="DF34" s="209" t="str">
        <f>VLOOKUP(DE34,$BO$32:$BP$35,2,FALSE)</f>
        <v/>
      </c>
      <c r="DG34" s="209">
        <v>3</v>
      </c>
      <c r="DH34" s="209" t="str">
        <f t="shared" ref="DH34" si="130">IF(DB34&lt;&gt;"",IF(DA34&lt;DA35,DB34,DB35),IF(DF34&lt;&gt;"",DF34,DD34))</f>
        <v>Ferencvárosi TC</v>
      </c>
      <c r="DI34" s="209">
        <v>31</v>
      </c>
    </row>
    <row r="35" spans="1:113">
      <c r="A35" s="209">
        <f t="shared" si="12"/>
        <v>3</v>
      </c>
      <c r="B35" s="209" t="str">
        <f>'Team Setup'!B36</f>
        <v>Ferencvárosi TC</v>
      </c>
      <c r="C35" s="210">
        <f>SUMPRODUCT(('Group Stages'!$I$10:$I$153&lt;&gt;"")*('Group Stages'!$K$10:$K$153&lt;&gt;"")*('Group Stages'!$G$10:$G$153='Dummy Table'!$B35)*('Group Stages'!$I$10:$I$153&gt;'Group Stages'!$K$10:$K$153))</f>
        <v>0</v>
      </c>
      <c r="D35" s="210">
        <f>SUMPRODUCT(('Group Stages'!$I$10:$I$153&lt;&gt;"")*('Group Stages'!$K$10:$K$153&lt;&gt;"")*('Group Stages'!$G$10:$G$153='Dummy Table'!$B35)*('Group Stages'!$I$10:$I$153='Group Stages'!$K$10:$K$153))</f>
        <v>1</v>
      </c>
      <c r="E35" s="210">
        <f>SUMPRODUCT(('Group Stages'!$I$10:$I$153&lt;&gt;"")*('Group Stages'!$K$10:$K$153&lt;&gt;"")*('Group Stages'!$G$10:$G$153='Dummy Table'!$B35)*('Group Stages'!$I$10:$I$153&lt;'Group Stages'!$K$10:$K$153))</f>
        <v>1</v>
      </c>
      <c r="F35" s="210">
        <f>SUMIF('Group Stages'!$G$10:$G$153,'Dummy Table'!$B35,'Group Stages'!$I$10:$I$153)</f>
        <v>0</v>
      </c>
      <c r="G35" s="210">
        <f>SUMIF('Group Stages'!$G$10:$G$153,'Dummy Table'!$B35,'Group Stages'!$K$10:$K$153)</f>
        <v>0</v>
      </c>
      <c r="H35" s="210">
        <f t="shared" si="13"/>
        <v>0</v>
      </c>
      <c r="I35" s="210">
        <f t="shared" si="14"/>
        <v>1</v>
      </c>
      <c r="J35" s="209">
        <f>SUMPRODUCT(('Group Stages'!$I$10:$I$153&lt;&gt;"")*('Group Stages'!$K$10:$K$153&lt;&gt;"")*('Group Stages'!$M$10:$M$153='Dummy Table'!$B35)*('Group Stages'!$I$10:$I$153&lt;'Group Stages'!$K$10:$K$153))</f>
        <v>1</v>
      </c>
      <c r="K35" s="209">
        <f>SUMPRODUCT(('Group Stages'!$I$10:$I$153&lt;&gt;"")*('Group Stages'!$K$10:$K$153&lt;&gt;"")*('Group Stages'!$M$10:$M$153='Dummy Table'!$B35)*('Group Stages'!$I$10:$I$153='Group Stages'!$K$10:$K$153))</f>
        <v>1</v>
      </c>
      <c r="L35" s="209">
        <f>SUMPRODUCT(('Group Stages'!$I$10:$I$153&lt;&gt;"")*('Group Stages'!$K$10:$K$153&lt;&gt;"")*('Group Stages'!$M$10:$M$153='Dummy Table'!$B35)*('Group Stages'!$I$10:$I$153&gt;'Group Stages'!$K$10:$K$153))</f>
        <v>0</v>
      </c>
      <c r="M35" s="209">
        <f>SUMIF('Group Stages'!$M$10:$M$153,'Dummy Table'!$B35,'Group Stages'!$K$10:$K$153)</f>
        <v>0</v>
      </c>
      <c r="N35" s="209">
        <f>SUMIF('Group Stages'!$M$10:$M$153,'Dummy Table'!$B35,'Group Stages'!$I$10:$I$153)</f>
        <v>0</v>
      </c>
      <c r="O35" s="209">
        <f t="shared" si="15"/>
        <v>0</v>
      </c>
      <c r="P35" s="209">
        <f t="shared" si="16"/>
        <v>4</v>
      </c>
      <c r="Q35" s="209">
        <f t="shared" si="17"/>
        <v>1</v>
      </c>
      <c r="R35" s="209">
        <f t="shared" si="18"/>
        <v>2</v>
      </c>
      <c r="S35" s="209">
        <f t="shared" si="19"/>
        <v>1</v>
      </c>
      <c r="T35" s="209">
        <f t="shared" si="20"/>
        <v>0</v>
      </c>
      <c r="U35" s="209">
        <f t="shared" si="21"/>
        <v>0</v>
      </c>
      <c r="V35" s="209">
        <f t="shared" si="22"/>
        <v>0</v>
      </c>
      <c r="W35" s="209">
        <f t="shared" si="23"/>
        <v>5</v>
      </c>
      <c r="X35" s="210">
        <f>IF('Team Setup'!F36&lt;&gt;"",'Team Setup'!F36,DI35)</f>
        <v>7000</v>
      </c>
      <c r="Y35" s="210">
        <f>RANK(W35,W$32:W$35)</f>
        <v>3</v>
      </c>
      <c r="Z35" s="210">
        <f>SUMPRODUCT((W$32:W$35=W35)*(V$32:V$35&gt;V35))</f>
        <v>0</v>
      </c>
      <c r="AA35" s="210">
        <f>SUMPRODUCT((Y$32:Y$35=Y35)*(Z$32:Z$35=Z35)*(T$32:T$35&gt;T35))</f>
        <v>0</v>
      </c>
      <c r="AB35" s="210">
        <f>SUMPRODUCT((Y$32:Y$35=Y35)*(Z$32:Z$35=Z35)*(T$32:T$35=T35)*(X$32:X$35&gt;X35))</f>
        <v>0</v>
      </c>
      <c r="AC35" s="209">
        <v>4</v>
      </c>
      <c r="AD35" s="209" t="str">
        <f>VLOOKUP(AC35,$A$32:$B$35,2,FALSE)</f>
        <v>CSKA Moskva</v>
      </c>
      <c r="AE35" s="209">
        <f>VLOOKUP($AD35,$B$32:$W$35,22,FALSE)</f>
        <v>1</v>
      </c>
      <c r="AF35" s="209" t="str">
        <f t="shared" ref="AF35" si="131">IF(AND(AE35=AE34,AE34=AE33),AD35,"")</f>
        <v/>
      </c>
      <c r="AG35" s="210">
        <f>SUMPRODUCT(($BK$4:$BK$147='Dummy Table'!$AF35)*($BL$4:$BL$147&gt;$BM$4:$BM$147))</f>
        <v>0</v>
      </c>
      <c r="AH35" s="210">
        <f>SUMPRODUCT(($BK$4:$BK$147='Dummy Table'!$AF35)*($BL$4:$BL$147=$BM$4:$BM$147))</f>
        <v>134</v>
      </c>
      <c r="AI35" s="210">
        <f>SUMPRODUCT(($BK$4:$BK$147='Dummy Table'!$AF35)*($BL$4:$BL$147&lt;$BM$4:$BM$147))</f>
        <v>0</v>
      </c>
      <c r="AJ35" s="210">
        <f>SUMIF($BK$4:$BK$147,'Dummy Table'!$AF35,$BL$4:$BL$147)</f>
        <v>0</v>
      </c>
      <c r="AK35" s="210">
        <f>SUMIF($BK$4:$BK$147,'Dummy Table'!$AF35,$BM$4:$BM$147)</f>
        <v>0</v>
      </c>
      <c r="AL35" s="210">
        <f t="shared" si="24"/>
        <v>0</v>
      </c>
      <c r="AM35" s="210" t="str">
        <f t="shared" si="25"/>
        <v/>
      </c>
      <c r="AN35" s="210">
        <f>SUMPRODUCT(($BN$4:$BN$147='Dummy Table'!$AF35)*($BL$4:$BL$147&lt;$BM$4:$BM$147))</f>
        <v>0</v>
      </c>
      <c r="AO35" s="210">
        <f>SUMPRODUCT(($BN$4:$BN$147='Dummy Table'!$AF35)*($BL$4:$BL$147=$BM$4:$BM$147))</f>
        <v>134</v>
      </c>
      <c r="AP35" s="210">
        <f>SUMPRODUCT(($BN$4:$BN$147='Dummy Table'!$AF35)*($BL$4:$BL$147&gt;$BM$4:$BM$147))</f>
        <v>0</v>
      </c>
      <c r="AQ35" s="210">
        <f>SUMIF($BN$4:$BN$147,'Dummy Table'!$AF35,$BM$4:$BM$147)</f>
        <v>0</v>
      </c>
      <c r="AR35" s="210">
        <f>SUMIF($BN$4:$BN$147,'Dummy Table'!$AF35,$BL$4:$BL$147)</f>
        <v>0</v>
      </c>
      <c r="AS35" s="210">
        <f t="shared" si="26"/>
        <v>0</v>
      </c>
      <c r="AT35" s="210" t="str">
        <f t="shared" si="27"/>
        <v/>
      </c>
      <c r="AU35" s="210">
        <f t="shared" si="28"/>
        <v>0</v>
      </c>
      <c r="AV35" s="210">
        <f t="shared" si="29"/>
        <v>268</v>
      </c>
      <c r="AW35" s="210">
        <f t="shared" si="30"/>
        <v>0</v>
      </c>
      <c r="AX35" s="210">
        <f t="shared" si="31"/>
        <v>0</v>
      </c>
      <c r="AY35" s="210">
        <f t="shared" si="32"/>
        <v>0</v>
      </c>
      <c r="AZ35" s="210">
        <f t="shared" si="33"/>
        <v>0</v>
      </c>
      <c r="BA35" s="210">
        <f t="shared" si="44"/>
        <v>-1</v>
      </c>
      <c r="BB35" s="209" t="str">
        <f t="shared" si="2"/>
        <v/>
      </c>
      <c r="BC35" s="209" t="str">
        <f t="shared" si="3"/>
        <v/>
      </c>
      <c r="BD35" s="209" t="str">
        <f t="shared" si="4"/>
        <v/>
      </c>
      <c r="BE35" s="209">
        <f>RANK(BA35,BA$32:BA$35)</f>
        <v>1</v>
      </c>
      <c r="BF35" s="209">
        <f>SUMPRODUCT((BA$32:BA$35=BA35)*(AZ$32:AZ$35&gt;AZ35))</f>
        <v>0</v>
      </c>
      <c r="BG35" s="209">
        <f>SUMPRODUCT((BA$32:BA$35=BA35)*(BE$32:BE$35=BE35)*(AZ$32:AZ$35=AZ35)*(AQ$32:AQ$35&gt;AQ35))</f>
        <v>0</v>
      </c>
      <c r="BH35" s="209">
        <f>SUMPRODUCT((BA$32:BA$35=BA35)*(BE$32:BE$35=BE35)*(AZ$32:AZ$35=AZ35)*(AQ$32:AQ$35=AQ35)*(BB$32:BB$35&gt;BB35))</f>
        <v>0</v>
      </c>
      <c r="BI35" s="209">
        <f>SUMPRODUCT((BA$32:BA$35=BA35)*(BE$32:BE$35=BE35)*(AZ$32:AZ$35=AZ35)*(AQ$32:AQ$35=AQ35)*(BB$32:BB$35=BB35)*(BC$32:BC$35&gt;BC35))</f>
        <v>0</v>
      </c>
      <c r="BJ35" s="209">
        <f>SUMPRODUCT((BA$32:BA$35=BA35)*(BE$32:BE$35=BE35)*(AZ$32:AZ$35=AZ35)*(AQ$32:AQ$35=AQ35)*(BB$32:BB$35=BB35)*(BC$32:BC$35=BC35)*(BD$32:BD$35&gt;BD35))</f>
        <v>0</v>
      </c>
      <c r="BK35" s="209" t="str">
        <f>IF(AND(COUNTIF($AF$4:$AF$35,'Group Stages'!G41)&gt;0,COUNTIF($AF$4:$AF$35,'Group Stages'!M41)&gt;0,'Group Stages'!I41&lt;&gt;"",'Group Stages'!K41&lt;&gt;""),'Group Stages'!G41,"")</f>
        <v/>
      </c>
      <c r="BL35" s="209" t="str">
        <f>IF($BK35&lt;&gt;"",'Group Stages'!I41,"")</f>
        <v/>
      </c>
      <c r="BM35" s="209" t="str">
        <f>IF($BK35&lt;&gt;"",'Group Stages'!K41,"")</f>
        <v/>
      </c>
      <c r="BN35" s="209" t="str">
        <f>IF($BK35&lt;&gt;"",'Group Stages'!M41,"")</f>
        <v/>
      </c>
      <c r="BO35" s="209" t="str">
        <f t="shared" si="5"/>
        <v/>
      </c>
      <c r="BP35" s="209" t="str">
        <f t="shared" si="34"/>
        <v/>
      </c>
      <c r="BQ35" s="209">
        <f>VLOOKUP($AD35,$B$32:$W$35,22,FALSE)</f>
        <v>1</v>
      </c>
      <c r="BR35" s="209" t="str">
        <f t="shared" ref="BR35" si="132">IF(BR34&lt;&gt;"",AD35,"")</f>
        <v/>
      </c>
      <c r="BS35" s="217">
        <f>SUMPRODUCT(($CW$4:$CW$147='Dummy Table'!$BR35)*($CX$4:$CX$147&gt;$CY$4:$CY$147))</f>
        <v>0</v>
      </c>
      <c r="BT35" s="217">
        <f>SUMPRODUCT(($CW$4:$CW$147='Dummy Table'!$BR35)*($CX$4:$CX$147=$CY$4:$CY$147))</f>
        <v>142</v>
      </c>
      <c r="BU35" s="217">
        <f>SUMPRODUCT(($CW$4:$CW$147='Dummy Table'!$BR35)*($CX$4:$CX$147&lt;$CY$4:$CY$147))</f>
        <v>0</v>
      </c>
      <c r="BV35" s="217">
        <f>SUMIF($CW$4:$CW$147,'Dummy Table'!$BR35,$CX$4:$CX$147)</f>
        <v>0</v>
      </c>
      <c r="BW35" s="217">
        <f>SUMIF($CW$4:$CW$147,'Dummy Table'!$BR35,$CY$4:$CY$147)</f>
        <v>0</v>
      </c>
      <c r="BX35" s="217">
        <f t="shared" si="35"/>
        <v>0</v>
      </c>
      <c r="BY35" s="217" t="str">
        <f t="shared" si="36"/>
        <v/>
      </c>
      <c r="BZ35" s="217">
        <f>SUMPRODUCT(($CZ$4:$CZ$147='Dummy Table'!$BR35)*($CX$4:$CX$147&lt;$CY$4:$CY$147))</f>
        <v>0</v>
      </c>
      <c r="CA35" s="217">
        <f>SUMPRODUCT(($CZ$4:$CZ$147='Dummy Table'!$BR35)*($CX$4:$CX$147=$CY$4:$CY$147))</f>
        <v>142</v>
      </c>
      <c r="CB35" s="217">
        <f>SUMPRODUCT(($CZ$4:$CZ$147='Dummy Table'!$BR35)*($CX$4:$CX$147&gt;$CY$4:$CY$147))</f>
        <v>0</v>
      </c>
      <c r="CC35" s="217">
        <f>SUMIF($CZ$4:$CZ$147,'Dummy Table'!$BR35,$CY$4:$CY$147)</f>
        <v>0</v>
      </c>
      <c r="CD35" s="217">
        <f>SUMIF($CZ$4:$CZ$147,'Dummy Table'!$BR35,$CX$4:$CX$147)</f>
        <v>0</v>
      </c>
      <c r="CE35" s="217">
        <f t="shared" si="37"/>
        <v>0</v>
      </c>
      <c r="CF35" s="217" t="str">
        <f t="shared" si="38"/>
        <v/>
      </c>
      <c r="CG35" s="217">
        <f t="shared" si="39"/>
        <v>0</v>
      </c>
      <c r="CH35" s="217">
        <f t="shared" si="6"/>
        <v>284</v>
      </c>
      <c r="CI35" s="217">
        <f t="shared" si="7"/>
        <v>0</v>
      </c>
      <c r="CJ35" s="217">
        <f t="shared" si="8"/>
        <v>0</v>
      </c>
      <c r="CK35" s="217">
        <f t="shared" si="9"/>
        <v>0</v>
      </c>
      <c r="CL35" s="217">
        <f t="shared" si="10"/>
        <v>0</v>
      </c>
      <c r="CM35" s="217">
        <f t="shared" si="45"/>
        <v>-1</v>
      </c>
      <c r="CN35" s="210">
        <f t="shared" si="40"/>
        <v>7000</v>
      </c>
      <c r="CO35" s="210">
        <f>SUMIF($CZ$4:$CZ$147,'Dummy Table'!$BR35,$CY$4:$CY$147)*2</f>
        <v>0</v>
      </c>
      <c r="CP35" s="210">
        <f>RANK(CM35,CM$32:CM$35)</f>
        <v>1</v>
      </c>
      <c r="CR35" s="210">
        <f>SUMPRODUCT((CM$32:CM$35=CM35)*(CL$32:CL$35&gt;CL35))</f>
        <v>0</v>
      </c>
      <c r="CS35" s="210">
        <f>SUMPRODUCT((CP$32:CP$35=CP35)*(CR$32:CR$35=CR35)*(CO$32:CO$35&gt;CO35))</f>
        <v>0</v>
      </c>
      <c r="CT35" s="210">
        <f>IF(BR35&lt;&gt;"",SUMPRODUCT((CP$32:CP$35=CP35)*(CR$32:CR$35=CR35)*(CS$32:CS$35=CS35)*(V$32:V$35&gt;V35)),0)</f>
        <v>0</v>
      </c>
      <c r="CU35" s="210">
        <f>IF($BR35&lt;&gt;"",SUMPRODUCT((CP$32:CP$35=CP35)*(CR$32:CR$35=CR35)*(CS$32:CS$35=CS35)*(CT$32:CT$35=CT35)*(T$32:T$35&gt;T35)),0)</f>
        <v>0</v>
      </c>
      <c r="CV35" s="210">
        <f>SUMPRODUCT((CP$32:CP$35=CP35)*(CR$32:CR$35=CR35)*(CS$32:CS$35=CS35)*(CT$32:CT$35=CT35)*(CU$32:CU$35=CU35)*(CN$32:CN$35&gt;CN35))</f>
        <v>2</v>
      </c>
      <c r="CW35" s="209" t="str">
        <f>IF(AND(COUNTIF($BR$4:$BR$35,'Group Stages'!$G41)&gt;0,COUNTIF($BR$4:$BR$35,'Group Stages'!$M41)&gt;0),'Group Stages'!$G41,"")</f>
        <v/>
      </c>
      <c r="CX35" s="209" t="str">
        <f>IF($CW35&lt;&gt;"",'Group Stages'!$I41,"")</f>
        <v/>
      </c>
      <c r="CY35" s="209" t="str">
        <f>IF($CW35&lt;&gt;"",'Group Stages'!$K41,"")</f>
        <v/>
      </c>
      <c r="CZ35" s="209" t="str">
        <f>IF($CW35&lt;&gt;"",'Group Stages'!$M41,"")</f>
        <v/>
      </c>
      <c r="DA35" s="210" t="str">
        <f t="shared" si="11"/>
        <v/>
      </c>
      <c r="DB35" s="209" t="str">
        <f t="shared" si="43"/>
        <v/>
      </c>
      <c r="DC35" s="209">
        <v>4</v>
      </c>
      <c r="DD35" s="209" t="str">
        <f t="shared" si="47"/>
        <v>CSKA Moskva</v>
      </c>
      <c r="DE35" s="209" t="str">
        <f t="shared" ref="DE35" si="133">IF(AND(DD35="",DD34="",DD33="",DD32=""),4,IF(AND(DD35="",DD34="",DD33=""),3,IF(AND(DD33&lt;&gt;"",DD34="",DD35=""),2,IF(AND(DD33&lt;&gt;"",DD34&lt;&gt;"",DD35=""),1,""))))</f>
        <v/>
      </c>
      <c r="DF35" s="209" t="str">
        <f>VLOOKUP(DE35,$BO$32:$BP$35,2,FALSE)</f>
        <v/>
      </c>
      <c r="DG35" s="209">
        <v>4</v>
      </c>
      <c r="DH35" s="209" t="str">
        <f t="shared" ref="DH35" si="134">IF(DB35&lt;&gt;"",IF(DA34&lt;DA35,DB35,DB34),IF(DF35&lt;&gt;"",DF35,DD35))</f>
        <v>CSKA Moskva</v>
      </c>
      <c r="DI35" s="209">
        <v>32</v>
      </c>
    </row>
    <row r="36" spans="1:113">
      <c r="A36" s="209">
        <f t="shared" ref="A36:A49" si="135">Y36+Z36+AA36+AB36</f>
        <v>1</v>
      </c>
      <c r="B36" s="209" t="str">
        <f>'Team Setup'!B37</f>
        <v>KAA Gent</v>
      </c>
      <c r="C36" s="210">
        <f>SUMPRODUCT(('Group Stages'!$I$10:$I$153&lt;&gt;"")*('Group Stages'!$K$10:$K$153&lt;&gt;"")*('Group Stages'!$G$10:$G$153='Dummy Table'!$B36)*('Group Stages'!$I$10:$I$153&gt;'Group Stages'!$K$10:$K$153))</f>
        <v>1</v>
      </c>
      <c r="D36" s="210">
        <f>SUMPRODUCT(('Group Stages'!$I$10:$I$153&lt;&gt;"")*('Group Stages'!$K$10:$K$153&lt;&gt;"")*('Group Stages'!$G$10:$G$153='Dummy Table'!$B36)*('Group Stages'!$I$10:$I$153='Group Stages'!$K$10:$K$153))</f>
        <v>1</v>
      </c>
      <c r="E36" s="210">
        <f>SUMPRODUCT(('Group Stages'!$I$10:$I$153&lt;&gt;"")*('Group Stages'!$K$10:$K$153&lt;&gt;"")*('Group Stages'!$G$10:$G$153='Dummy Table'!$B36)*('Group Stages'!$I$10:$I$153&lt;'Group Stages'!$K$10:$K$153))</f>
        <v>0</v>
      </c>
      <c r="F36" s="210">
        <f>SUMIF('Group Stages'!$G$10:$G$153,'Dummy Table'!$B36,'Group Stages'!$I$10:$I$153)</f>
        <v>0</v>
      </c>
      <c r="G36" s="210">
        <f>SUMIF('Group Stages'!$G$10:$G$153,'Dummy Table'!$B36,'Group Stages'!$K$10:$K$153)</f>
        <v>0</v>
      </c>
      <c r="H36" s="210">
        <f t="shared" ref="H36:H49" si="136">F36-G36</f>
        <v>0</v>
      </c>
      <c r="I36" s="210">
        <f t="shared" ref="I36:I49" si="137">C36*3+D36*1</f>
        <v>4</v>
      </c>
      <c r="J36" s="209">
        <f>SUMPRODUCT(('Group Stages'!$I$10:$I$153&lt;&gt;"")*('Group Stages'!$K$10:$K$153&lt;&gt;"")*('Group Stages'!$M$10:$M$153='Dummy Table'!$B36)*('Group Stages'!$I$10:$I$153&lt;'Group Stages'!$K$10:$K$153))</f>
        <v>1</v>
      </c>
      <c r="K36" s="209">
        <f>SUMPRODUCT(('Group Stages'!$I$10:$I$153&lt;&gt;"")*('Group Stages'!$K$10:$K$153&lt;&gt;"")*('Group Stages'!$M$10:$M$153='Dummy Table'!$B36)*('Group Stages'!$I$10:$I$153='Group Stages'!$K$10:$K$153))</f>
        <v>1</v>
      </c>
      <c r="L36" s="209">
        <f>SUMPRODUCT(('Group Stages'!$I$10:$I$153&lt;&gt;"")*('Group Stages'!$K$10:$K$153&lt;&gt;"")*('Group Stages'!$M$10:$M$153='Dummy Table'!$B36)*('Group Stages'!$I$10:$I$153&gt;'Group Stages'!$K$10:$K$153))</f>
        <v>0</v>
      </c>
      <c r="M36" s="209">
        <f>SUMIF('Group Stages'!$M$10:$M$153,'Dummy Table'!$B36,'Group Stages'!$K$10:$K$153)</f>
        <v>0</v>
      </c>
      <c r="N36" s="209">
        <f>SUMIF('Group Stages'!$M$10:$M$153,'Dummy Table'!$B36,'Group Stages'!$I$10:$I$153)</f>
        <v>0</v>
      </c>
      <c r="O36" s="209">
        <f t="shared" ref="O36:O49" si="138">M36-N36</f>
        <v>0</v>
      </c>
      <c r="P36" s="209">
        <f t="shared" ref="P36:P49" si="139">J36*3+K36*1</f>
        <v>4</v>
      </c>
      <c r="Q36" s="209">
        <f t="shared" ref="Q36:Q49" si="140">C36+J36</f>
        <v>2</v>
      </c>
      <c r="R36" s="209">
        <f t="shared" ref="R36:R49" si="141">D36+K36</f>
        <v>2</v>
      </c>
      <c r="S36" s="209">
        <f t="shared" ref="S36:S49" si="142">E36+L36</f>
        <v>0</v>
      </c>
      <c r="T36" s="209">
        <f t="shared" ref="T36:T49" si="143">F36+M36</f>
        <v>0</v>
      </c>
      <c r="U36" s="209">
        <f t="shared" ref="U36:U49" si="144">G36+N36</f>
        <v>0</v>
      </c>
      <c r="V36" s="209">
        <f t="shared" ref="V36:V49" si="145">H36+O36</f>
        <v>0</v>
      </c>
      <c r="W36" s="209">
        <f t="shared" ref="W36:W49" si="146">I36+P36</f>
        <v>8</v>
      </c>
      <c r="X36" s="210">
        <f>IF('Team Setup'!F37&lt;&gt;"",'Team Setup'!F37,DI36)</f>
        <v>35500</v>
      </c>
      <c r="Y36" s="210">
        <f>RANK(W36,W$36:W$39)</f>
        <v>1</v>
      </c>
      <c r="Z36" s="210">
        <f>SUMPRODUCT((W$36:W$39=W36)*(V$36:V$39&gt;V36))</f>
        <v>0</v>
      </c>
      <c r="AA36" s="210">
        <f>SUMPRODUCT((Y$36:Y$39=Y36)*(Z$36:Z$39=Z36)*(T$36:T$39&gt;T36))</f>
        <v>0</v>
      </c>
      <c r="AB36" s="210">
        <f>SUMPRODUCT((Y$36:Y$39=Y36)*(Z$36:Z$39=Z36)*(T$36:T$39=T36)*(X$36:X$39&gt;X36))</f>
        <v>0</v>
      </c>
      <c r="AC36" s="209">
        <v>1</v>
      </c>
      <c r="AD36" s="209" t="str">
        <f>VLOOKUP(AC36,$A$36:$B$39,2,FALSE)</f>
        <v>KAA Gent</v>
      </c>
      <c r="AE36" s="209">
        <f>VLOOKUP($AD36,$B$36:$W$39,22,FALSE)</f>
        <v>8</v>
      </c>
      <c r="AF36" s="209" t="str">
        <f t="shared" ref="AF36" si="147">IF(AE36=AE37,AD36,"")</f>
        <v/>
      </c>
      <c r="AG36" s="210">
        <f>SUMPRODUCT(($BK$4:$BK$147='Dummy Table'!$AF36)*($BL$4:$BL$147&gt;$BM$4:$BM$147))</f>
        <v>0</v>
      </c>
      <c r="AH36" s="210">
        <f>SUMPRODUCT(($BK$4:$BK$147='Dummy Table'!$AF36)*($BL$4:$BL$147=$BM$4:$BM$147))</f>
        <v>134</v>
      </c>
      <c r="AI36" s="210">
        <f>SUMPRODUCT(($BK$4:$BK$147='Dummy Table'!$AF36)*($BL$4:$BL$147&lt;$BM$4:$BM$147))</f>
        <v>0</v>
      </c>
      <c r="AJ36" s="210">
        <f>SUMIF($BK$4:$BK$147,'Dummy Table'!$AF36,$BL$4:$BL$147)</f>
        <v>0</v>
      </c>
      <c r="AK36" s="210">
        <f>SUMIF($BK$4:$BK$147,'Dummy Table'!$AF36,$BM$4:$BM$147)</f>
        <v>0</v>
      </c>
      <c r="AL36" s="210">
        <f t="shared" ref="AL36:AL51" si="148">AJ36-AK36</f>
        <v>0</v>
      </c>
      <c r="AM36" s="210" t="str">
        <f t="shared" ref="AM36:AM51" si="149">IF(AF36&lt;&gt;"",AG36*3+AH36*1,"")</f>
        <v/>
      </c>
      <c r="AN36" s="210">
        <f>SUMPRODUCT(($BN$4:$BN$147='Dummy Table'!$AF36)*($BL$4:$BL$147&lt;$BM$4:$BM$147))</f>
        <v>0</v>
      </c>
      <c r="AO36" s="210">
        <f>SUMPRODUCT(($BN$4:$BN$147='Dummy Table'!$AF36)*($BL$4:$BL$147=$BM$4:$BM$147))</f>
        <v>134</v>
      </c>
      <c r="AP36" s="210">
        <f>SUMPRODUCT(($BN$4:$BN$147='Dummy Table'!$AF36)*($BL$4:$BL$147&gt;$BM$4:$BM$147))</f>
        <v>0</v>
      </c>
      <c r="AQ36" s="210">
        <f>SUMIF($BN$4:$BN$147,'Dummy Table'!$AF36,$BM$4:$BM$147)</f>
        <v>0</v>
      </c>
      <c r="AR36" s="210">
        <f>SUMIF($BN$4:$BN$147,'Dummy Table'!$AF36,$BL$4:$BL$147)</f>
        <v>0</v>
      </c>
      <c r="AS36" s="210">
        <f t="shared" ref="AS36:AS51" si="150">AQ36-AR36</f>
        <v>0</v>
      </c>
      <c r="AT36" s="210" t="str">
        <f t="shared" ref="AT36:AT51" si="151">IF(AF36&lt;&gt;"",AN36*3+AO36*1,"")</f>
        <v/>
      </c>
      <c r="AU36" s="210">
        <f t="shared" ref="AU36:AU51" si="152">AG36+AN36</f>
        <v>0</v>
      </c>
      <c r="AV36" s="210">
        <f t="shared" ref="AV36:AV51" si="153">AH36+AO36</f>
        <v>268</v>
      </c>
      <c r="AW36" s="210">
        <f t="shared" ref="AW36:AW51" si="154">AI36+AP36</f>
        <v>0</v>
      </c>
      <c r="AX36" s="210">
        <f t="shared" ref="AX36:AX51" si="155">AJ36+AQ36</f>
        <v>0</v>
      </c>
      <c r="AY36" s="210">
        <f t="shared" ref="AY36:AY51" si="156">AK36+AR36</f>
        <v>0</v>
      </c>
      <c r="AZ36" s="210">
        <f t="shared" ref="AZ36:AZ51" si="157">AL36+AS36</f>
        <v>0</v>
      </c>
      <c r="BA36" s="210">
        <f t="shared" ref="BA36:BA51" si="158">IF(AF36&lt;&gt;"",AM36+AT36,-1)</f>
        <v>-1</v>
      </c>
      <c r="BB36" s="209" t="str">
        <f t="shared" si="2"/>
        <v/>
      </c>
      <c r="BC36" s="209" t="str">
        <f t="shared" si="3"/>
        <v/>
      </c>
      <c r="BD36" s="209" t="str">
        <f t="shared" si="4"/>
        <v/>
      </c>
      <c r="BE36" s="209">
        <f>RANK(BA36,BA$36:BA$39)</f>
        <v>1</v>
      </c>
      <c r="BF36" s="209">
        <f>SUMPRODUCT((BA$36:BA$39=BA36)*(AZ$36:AZ$39&gt;AZ36))</f>
        <v>0</v>
      </c>
      <c r="BG36" s="209">
        <f>SUMPRODUCT((BA$36:BA$39=BA36)*(BE$36:BE$39=BE36)*(AZ$36:AZ$39=AZ36)*(AQ$36:AQ$39&gt;AQ36))</f>
        <v>0</v>
      </c>
      <c r="BH36" s="209">
        <f>SUMPRODUCT((BA$36:BA$39=BA36)*(BE$36:BE$39=BE36)*(AZ$36:AZ$39=AZ36)*(AQ$36:AQ$39=AQ36)*(BB$36:BB$39&gt;BB36))</f>
        <v>0</v>
      </c>
      <c r="BI36" s="209">
        <f>SUMPRODUCT((BA$36:BA$39=BA36)*(BE$36:BE$39=BE36)*(AZ$36:AZ$39=AZ36)*(AQ$36:AQ$39=AQ36)*(BB$36:BB$39=BB36)*(BC$36:BC$39&gt;BC36))</f>
        <v>0</v>
      </c>
      <c r="BJ36" s="209">
        <f>SUMPRODUCT((BA$36:BA$39=BA36)*(BE$36:BE$39=BE36)*(AZ$36:AZ$39=AZ36)*(AQ$36:AQ$39=AQ36)*(BB$36:BB$39=BB36)*(BC$36:BC$39=BC36)*(BD$36:BD$39&gt;BD36))</f>
        <v>0</v>
      </c>
      <c r="BK36" s="209" t="str">
        <f>IF(AND(COUNTIF($AF$4:$AF$35,'Group Stages'!G42)&gt;0,COUNTIF($AF$4:$AF$35,'Group Stages'!M42)&gt;0,'Group Stages'!I42&lt;&gt;"",'Group Stages'!K42&lt;&gt;""),'Group Stages'!G42,"")</f>
        <v/>
      </c>
      <c r="BL36" s="209" t="str">
        <f>IF($BK36&lt;&gt;"",'Group Stages'!I42,"")</f>
        <v/>
      </c>
      <c r="BM36" s="209" t="str">
        <f>IF($BK36&lt;&gt;"",'Group Stages'!K42,"")</f>
        <v/>
      </c>
      <c r="BN36" s="209" t="str">
        <f>IF($BK36&lt;&gt;"",'Group Stages'!M42,"")</f>
        <v/>
      </c>
      <c r="BO36" s="209" t="str">
        <f t="shared" ref="BO36:BO51" si="159">IF(AF36="","",SUM(BE36:BJ36))</f>
        <v/>
      </c>
      <c r="BP36" s="209" t="str">
        <f t="shared" ref="BP36:BP51" si="160">IF(AF36="","",AF36)</f>
        <v/>
      </c>
      <c r="BQ36" s="209">
        <f>VLOOKUP($AD36,$B$36:$W$39,22,FALSE)</f>
        <v>8</v>
      </c>
      <c r="BS36" s="217">
        <f>SUMPRODUCT(($CW$4:$CW$147='Dummy Table'!$BR36)*($CX$4:$CX$147&gt;$CY$4:$CY$147))</f>
        <v>0</v>
      </c>
      <c r="BT36" s="217">
        <f>SUMPRODUCT(($CW$4:$CW$147='Dummy Table'!$BR36)*($CX$4:$CX$147=$CY$4:$CY$147))</f>
        <v>142</v>
      </c>
      <c r="BU36" s="217">
        <f>SUMPRODUCT(($CW$4:$CW$147='Dummy Table'!$BR36)*($CX$4:$CX$147&lt;$CY$4:$CY$147))</f>
        <v>0</v>
      </c>
      <c r="BV36" s="217">
        <f>SUMIF($CW$4:$CW$147,'Dummy Table'!$BR36,$CX$4:$CX$147)</f>
        <v>0</v>
      </c>
      <c r="BW36" s="217">
        <f>SUMIF($CW$4:$CW$147,'Dummy Table'!$BR36,$CY$4:$CY$147)</f>
        <v>0</v>
      </c>
      <c r="BX36" s="217">
        <f t="shared" ref="BX36:BX51" si="161">BV36-BW36</f>
        <v>0</v>
      </c>
      <c r="BY36" s="217" t="str">
        <f t="shared" ref="BY36:BY51" si="162">IF(BR36&lt;&gt;"",BS36*3+BT36*1,"")</f>
        <v/>
      </c>
      <c r="BZ36" s="217">
        <f>SUMPRODUCT(($CZ$4:$CZ$147='Dummy Table'!$BR36)*($CX$4:$CX$147&lt;$CY$4:$CY$147))</f>
        <v>0</v>
      </c>
      <c r="CA36" s="217">
        <f>SUMPRODUCT(($CZ$4:$CZ$147='Dummy Table'!$BR36)*($CX$4:$CX$147=$CY$4:$CY$147))</f>
        <v>142</v>
      </c>
      <c r="CB36" s="217">
        <f>SUMPRODUCT(($CZ$4:$CZ$147='Dummy Table'!$BR36)*($CX$4:$CX$147&gt;$CY$4:$CY$147))</f>
        <v>0</v>
      </c>
      <c r="CC36" s="217">
        <f>SUMIF($CZ$4:$CZ$147,'Dummy Table'!$BR36,$CY$4:$CY$147)</f>
        <v>0</v>
      </c>
      <c r="CD36" s="217">
        <f>SUMIF($CZ$4:$CZ$147,'Dummy Table'!$BR36,$CX$4:$CX$147)</f>
        <v>0</v>
      </c>
      <c r="CE36" s="217">
        <f t="shared" ref="CE36:CE51" si="163">CC36-CD36</f>
        <v>0</v>
      </c>
      <c r="CF36" s="217" t="str">
        <f t="shared" ref="CF36:CF51" si="164">IF(BR36&lt;&gt;"",BZ36*3+CA36*1,"")</f>
        <v/>
      </c>
      <c r="CG36" s="217">
        <f t="shared" ref="CG36:CG51" si="165">BS36+BZ36</f>
        <v>0</v>
      </c>
      <c r="CH36" s="217">
        <f t="shared" ref="CH36:CH51" si="166">BT36+CA36</f>
        <v>284</v>
      </c>
      <c r="CI36" s="217">
        <f t="shared" ref="CI36:CI51" si="167">BU36+CB36</f>
        <v>0</v>
      </c>
      <c r="CJ36" s="217">
        <f t="shared" ref="CJ36:CJ51" si="168">BV36+CC36</f>
        <v>0</v>
      </c>
      <c r="CK36" s="217">
        <f t="shared" ref="CK36:CK51" si="169">BW36+CD36</f>
        <v>0</v>
      </c>
      <c r="CL36" s="217">
        <f t="shared" ref="CL36:CL51" si="170">BX36+CE36</f>
        <v>0</v>
      </c>
      <c r="CM36" s="217">
        <f t="shared" ref="CM36:CM51" si="171">IF(BR36&lt;&gt;"",BY36+CF36,-1)</f>
        <v>-1</v>
      </c>
      <c r="CN36" s="210">
        <f t="shared" ref="CN36:CN51" si="172">X36</f>
        <v>35500</v>
      </c>
      <c r="CO36" s="210">
        <f>SUMIF($CZ$4:$CZ$147,'Dummy Table'!$BR36,$CY$4:$CY$147)*2</f>
        <v>0</v>
      </c>
      <c r="CP36" s="210">
        <f>RANK(CM36,CM$36:CM$39)</f>
        <v>3</v>
      </c>
      <c r="CR36" s="210">
        <f>SUMPRODUCT((CM$36:CM$39=CM36)*(CL$36:CL$39&gt;CL36))</f>
        <v>0</v>
      </c>
      <c r="CS36" s="210">
        <f>SUMPRODUCT((CP$36:CP$39=CP36)*(CR$36:CR$39=CR36)*(CO$36:CO$39&gt;CO36))</f>
        <v>0</v>
      </c>
      <c r="CT36" s="210">
        <f>IF(BR36&lt;&gt;"",SUMPRODUCT((CP$36:CP$39=CP36)*(CR$36:CR$39=CR36)*(CS$36:CS$39=CS36)*(V$36:V$39&gt;V36)),0)</f>
        <v>0</v>
      </c>
      <c r="CU36" s="210">
        <f>IF($BR36&lt;&gt;"",SUMPRODUCT((CP$36:CP$39=CP36)*(CR$36:CR$39=CR36)*(CS$36:CS$39=CS36)*(CT$36:CT$39=CT36)*(T$36:T$39&gt;T36)),0)</f>
        <v>0</v>
      </c>
      <c r="CV36" s="210">
        <f>SUMPRODUCT((CP$36:CP$39=CP36)*(CR$36:CR$39=CR36)*(CS$36:CS$39=CS36)*(CT$36:CT$39=CT36)*(CU$36:CU$39=CU36)*(CN$36:CN$39&gt;CN36))</f>
        <v>0</v>
      </c>
      <c r="CW36" s="209" t="str">
        <f>IF(AND(COUNTIF($BR$4:$BR$35,'Group Stages'!$G42)&gt;0,COUNTIF($BR$4:$BR$35,'Group Stages'!$M42)&gt;0),'Group Stages'!$G42,"")</f>
        <v/>
      </c>
      <c r="CX36" s="209" t="str">
        <f>IF($CW36&lt;&gt;"",'Group Stages'!$I42,"")</f>
        <v/>
      </c>
      <c r="CY36" s="209" t="str">
        <f>IF($CW36&lt;&gt;"",'Group Stages'!$K42,"")</f>
        <v/>
      </c>
      <c r="CZ36" s="209" t="str">
        <f>IF($CW36&lt;&gt;"",'Group Stages'!$M42,"")</f>
        <v/>
      </c>
      <c r="DA36" s="210" t="str">
        <f t="shared" ref="DA36:DA51" si="173">IF(BR36="","",SUM(CP36:CV36))</f>
        <v/>
      </c>
      <c r="DB36" s="209" t="str">
        <f t="shared" ref="DB36:DB51" si="174">IF(BR36="","",BR36)</f>
        <v/>
      </c>
      <c r="DC36" s="209">
        <v>1</v>
      </c>
      <c r="DD36" s="209" t="str">
        <f t="shared" ref="DD36:DD51" si="175">IF(AF36="",AD36,"")</f>
        <v>KAA Gent</v>
      </c>
      <c r="DE36" s="209" t="str">
        <f t="shared" ref="DE36" si="176">IF(DD36="",DC36,"")</f>
        <v/>
      </c>
      <c r="DF36" s="209" t="str">
        <f>VLOOKUP(DE36,$BO$36:$BP$39,2,FALSE)</f>
        <v/>
      </c>
      <c r="DG36" s="209">
        <v>1</v>
      </c>
      <c r="DH36" s="209" t="str">
        <f t="shared" ref="DH36:DH37" si="177">IF(DD36="",DF36,DD36)</f>
        <v>KAA Gent</v>
      </c>
      <c r="DI36" s="209">
        <v>33</v>
      </c>
    </row>
    <row r="37" spans="1:113">
      <c r="A37" s="209">
        <f t="shared" si="135"/>
        <v>2</v>
      </c>
      <c r="B37" s="209" t="str">
        <f>'Team Setup'!B38</f>
        <v>VfL Wolfsburg</v>
      </c>
      <c r="C37" s="210">
        <f>SUMPRODUCT(('Group Stages'!$I$10:$I$153&lt;&gt;"")*('Group Stages'!$K$10:$K$153&lt;&gt;"")*('Group Stages'!$G$10:$G$153='Dummy Table'!$B37)*('Group Stages'!$I$10:$I$153&gt;'Group Stages'!$K$10:$K$153))</f>
        <v>1</v>
      </c>
      <c r="D37" s="210">
        <f>SUMPRODUCT(('Group Stages'!$I$10:$I$153&lt;&gt;"")*('Group Stages'!$K$10:$K$153&lt;&gt;"")*('Group Stages'!$G$10:$G$153='Dummy Table'!$B37)*('Group Stages'!$I$10:$I$153='Group Stages'!$K$10:$K$153))</f>
        <v>0</v>
      </c>
      <c r="E37" s="210">
        <f>SUMPRODUCT(('Group Stages'!$I$10:$I$153&lt;&gt;"")*('Group Stages'!$K$10:$K$153&lt;&gt;"")*('Group Stages'!$G$10:$G$153='Dummy Table'!$B37)*('Group Stages'!$I$10:$I$153&lt;'Group Stages'!$K$10:$K$153))</f>
        <v>1</v>
      </c>
      <c r="F37" s="210">
        <f>SUMIF('Group Stages'!$G$10:$G$153,'Dummy Table'!$B37,'Group Stages'!$I$10:$I$153)</f>
        <v>0</v>
      </c>
      <c r="G37" s="210">
        <f>SUMIF('Group Stages'!$G$10:$G$153,'Dummy Table'!$B37,'Group Stages'!$K$10:$K$153)</f>
        <v>0</v>
      </c>
      <c r="H37" s="210">
        <f t="shared" si="136"/>
        <v>0</v>
      </c>
      <c r="I37" s="210">
        <f t="shared" si="137"/>
        <v>3</v>
      </c>
      <c r="J37" s="209">
        <f>SUMPRODUCT(('Group Stages'!$I$10:$I$153&lt;&gt;"")*('Group Stages'!$K$10:$K$153&lt;&gt;"")*('Group Stages'!$M$10:$M$153='Dummy Table'!$B37)*('Group Stages'!$I$10:$I$153&lt;'Group Stages'!$K$10:$K$153))</f>
        <v>0</v>
      </c>
      <c r="K37" s="209">
        <f>SUMPRODUCT(('Group Stages'!$I$10:$I$153&lt;&gt;"")*('Group Stages'!$K$10:$K$153&lt;&gt;"")*('Group Stages'!$M$10:$M$153='Dummy Table'!$B37)*('Group Stages'!$I$10:$I$153='Group Stages'!$K$10:$K$153))</f>
        <v>2</v>
      </c>
      <c r="L37" s="209">
        <f>SUMPRODUCT(('Group Stages'!$I$10:$I$153&lt;&gt;"")*('Group Stages'!$K$10:$K$153&lt;&gt;"")*('Group Stages'!$M$10:$M$153='Dummy Table'!$B37)*('Group Stages'!$I$10:$I$153&gt;'Group Stages'!$K$10:$K$153))</f>
        <v>0</v>
      </c>
      <c r="M37" s="209">
        <f>SUMIF('Group Stages'!$M$10:$M$153,'Dummy Table'!$B37,'Group Stages'!$K$10:$K$153)</f>
        <v>0</v>
      </c>
      <c r="N37" s="209">
        <f>SUMIF('Group Stages'!$M$10:$M$153,'Dummy Table'!$B37,'Group Stages'!$I$10:$I$153)</f>
        <v>0</v>
      </c>
      <c r="O37" s="209">
        <f t="shared" si="138"/>
        <v>0</v>
      </c>
      <c r="P37" s="209">
        <f t="shared" si="139"/>
        <v>2</v>
      </c>
      <c r="Q37" s="209">
        <f t="shared" si="140"/>
        <v>1</v>
      </c>
      <c r="R37" s="209">
        <f t="shared" si="141"/>
        <v>2</v>
      </c>
      <c r="S37" s="209">
        <f t="shared" si="142"/>
        <v>1</v>
      </c>
      <c r="T37" s="209">
        <f t="shared" si="143"/>
        <v>0</v>
      </c>
      <c r="U37" s="209">
        <f t="shared" si="144"/>
        <v>0</v>
      </c>
      <c r="V37" s="209">
        <f t="shared" si="145"/>
        <v>0</v>
      </c>
      <c r="W37" s="209">
        <f t="shared" si="146"/>
        <v>5</v>
      </c>
      <c r="X37" s="210">
        <f>IF('Team Setup'!F38&lt;&gt;"",'Team Setup'!F38,DI37)</f>
        <v>28000</v>
      </c>
      <c r="Y37" s="210">
        <f>RANK(W37,W$36:W$39)</f>
        <v>2</v>
      </c>
      <c r="Z37" s="210">
        <f>SUMPRODUCT((W$36:W$39=W37)*(V$36:V$39&gt;V37))</f>
        <v>0</v>
      </c>
      <c r="AA37" s="210">
        <f>SUMPRODUCT((Y$36:Y$39=Y37)*(Z$36:Z$39=Z37)*(T$36:T$39&gt;T37))</f>
        <v>0</v>
      </c>
      <c r="AB37" s="210">
        <f>SUMPRODUCT((Y$36:Y$39=Y37)*(Z$36:Z$39=Z37)*(T$36:T$39=T37)*(X$36:X$39&gt;X37))</f>
        <v>0</v>
      </c>
      <c r="AC37" s="209">
        <v>2</v>
      </c>
      <c r="AD37" s="209" t="str">
        <f>VLOOKUP(AC37,$A$36:$B$39,2,FALSE)</f>
        <v>VfL Wolfsburg</v>
      </c>
      <c r="AE37" s="209">
        <f>VLOOKUP($AD37,$B$36:$W$39,22,FALSE)</f>
        <v>5</v>
      </c>
      <c r="AF37" s="209" t="str">
        <f t="shared" ref="AF37" si="178">IF(OR(AE37=AE36,AE37=AE38),AD37,"")</f>
        <v/>
      </c>
      <c r="AG37" s="210">
        <f>SUMPRODUCT(($BK$4:$BK$147='Dummy Table'!$AF37)*($BL$4:$BL$147&gt;$BM$4:$BM$147))</f>
        <v>0</v>
      </c>
      <c r="AH37" s="210">
        <f>SUMPRODUCT(($BK$4:$BK$147='Dummy Table'!$AF37)*($BL$4:$BL$147=$BM$4:$BM$147))</f>
        <v>134</v>
      </c>
      <c r="AI37" s="210">
        <f>SUMPRODUCT(($BK$4:$BK$147='Dummy Table'!$AF37)*($BL$4:$BL$147&lt;$BM$4:$BM$147))</f>
        <v>0</v>
      </c>
      <c r="AJ37" s="210">
        <f>SUMIF($BK$4:$BK$147,'Dummy Table'!$AF37,$BL$4:$BL$147)</f>
        <v>0</v>
      </c>
      <c r="AK37" s="210">
        <f>SUMIF($BK$4:$BK$147,'Dummy Table'!$AF37,$BM$4:$BM$147)</f>
        <v>0</v>
      </c>
      <c r="AL37" s="210">
        <f t="shared" si="148"/>
        <v>0</v>
      </c>
      <c r="AM37" s="210" t="str">
        <f t="shared" si="149"/>
        <v/>
      </c>
      <c r="AN37" s="210">
        <f>SUMPRODUCT(($BN$4:$BN$147='Dummy Table'!$AF37)*($BL$4:$BL$147&lt;$BM$4:$BM$147))</f>
        <v>0</v>
      </c>
      <c r="AO37" s="210">
        <f>SUMPRODUCT(($BN$4:$BN$147='Dummy Table'!$AF37)*($BL$4:$BL$147=$BM$4:$BM$147))</f>
        <v>134</v>
      </c>
      <c r="AP37" s="210">
        <f>SUMPRODUCT(($BN$4:$BN$147='Dummy Table'!$AF37)*($BL$4:$BL$147&gt;$BM$4:$BM$147))</f>
        <v>0</v>
      </c>
      <c r="AQ37" s="210">
        <f>SUMIF($BN$4:$BN$147,'Dummy Table'!$AF37,$BM$4:$BM$147)</f>
        <v>0</v>
      </c>
      <c r="AR37" s="210">
        <f>SUMIF($BN$4:$BN$147,'Dummy Table'!$AF37,$BL$4:$BL$147)</f>
        <v>0</v>
      </c>
      <c r="AS37" s="210">
        <f t="shared" si="150"/>
        <v>0</v>
      </c>
      <c r="AT37" s="210" t="str">
        <f t="shared" si="151"/>
        <v/>
      </c>
      <c r="AU37" s="210">
        <f t="shared" si="152"/>
        <v>0</v>
      </c>
      <c r="AV37" s="210">
        <f t="shared" si="153"/>
        <v>268</v>
      </c>
      <c r="AW37" s="210">
        <f t="shared" si="154"/>
        <v>0</v>
      </c>
      <c r="AX37" s="210">
        <f t="shared" si="155"/>
        <v>0</v>
      </c>
      <c r="AY37" s="210">
        <f t="shared" si="156"/>
        <v>0</v>
      </c>
      <c r="AZ37" s="210">
        <f t="shared" si="157"/>
        <v>0</v>
      </c>
      <c r="BA37" s="210">
        <f t="shared" si="158"/>
        <v>-1</v>
      </c>
      <c r="BB37" s="209" t="str">
        <f t="shared" si="2"/>
        <v/>
      </c>
      <c r="BC37" s="209" t="str">
        <f t="shared" si="3"/>
        <v/>
      </c>
      <c r="BD37" s="209" t="str">
        <f t="shared" si="4"/>
        <v/>
      </c>
      <c r="BE37" s="209">
        <f>RANK(BA37,BA$36:BA$39)</f>
        <v>1</v>
      </c>
      <c r="BF37" s="209">
        <f>SUMPRODUCT((BA$36:BA$39=BA37)*(AZ$36:AZ$39&gt;AZ37))</f>
        <v>0</v>
      </c>
      <c r="BG37" s="209">
        <f>SUMPRODUCT((BA$36:BA$39=BA37)*(BE$36:BE$39=BE37)*(AZ$36:AZ$39=AZ37)*(AQ$36:AQ$39&gt;AQ37))</f>
        <v>0</v>
      </c>
      <c r="BH37" s="209">
        <f>SUMPRODUCT((BA$36:BA$39=BA37)*(BE$36:BE$39=BE37)*(AZ$36:AZ$39=AZ37)*(AQ$36:AQ$39=AQ37)*(BB$36:BB$39&gt;BB37))</f>
        <v>0</v>
      </c>
      <c r="BI37" s="209">
        <f>SUMPRODUCT((BA$36:BA$39=BA37)*(BE$36:BE$39=BE37)*(AZ$36:AZ$39=AZ37)*(AQ$36:AQ$39=AQ37)*(BB$36:BB$39=BB37)*(BC$36:BC$39&gt;BC37))</f>
        <v>0</v>
      </c>
      <c r="BJ37" s="209">
        <f>SUMPRODUCT((BA$36:BA$39=BA37)*(BE$36:BE$39=BE37)*(AZ$36:AZ$39=AZ37)*(AQ$36:AQ$39=AQ37)*(BB$36:BB$39=BB37)*(BC$36:BC$39=BC37)*(BD$36:BD$39&gt;BD37))</f>
        <v>0</v>
      </c>
      <c r="BK37" s="209" t="str">
        <f>IF(AND(COUNTIF($AF$4:$AF$35,'Group Stages'!G43)&gt;0,COUNTIF($AF$4:$AF$35,'Group Stages'!M43)&gt;0,'Group Stages'!I43&lt;&gt;"",'Group Stages'!K43&lt;&gt;""),'Group Stages'!G43,"")</f>
        <v/>
      </c>
      <c r="BL37" s="209" t="str">
        <f>IF($BK37&lt;&gt;"",'Group Stages'!I43,"")</f>
        <v/>
      </c>
      <c r="BM37" s="209" t="str">
        <f>IF($BK37&lt;&gt;"",'Group Stages'!K43,"")</f>
        <v/>
      </c>
      <c r="BN37" s="209" t="str">
        <f>IF($BK37&lt;&gt;"",'Group Stages'!M43,"")</f>
        <v/>
      </c>
      <c r="BO37" s="209" t="str">
        <f t="shared" si="159"/>
        <v/>
      </c>
      <c r="BP37" s="209" t="str">
        <f t="shared" si="160"/>
        <v/>
      </c>
      <c r="BQ37" s="209">
        <f>VLOOKUP($AD37,$B$36:$W$39,22,FALSE)</f>
        <v>5</v>
      </c>
      <c r="BS37" s="217">
        <f>SUMPRODUCT(($CW$4:$CW$147='Dummy Table'!$BR37)*($CX$4:$CX$147&gt;$CY$4:$CY$147))</f>
        <v>0</v>
      </c>
      <c r="BT37" s="217">
        <f>SUMPRODUCT(($CW$4:$CW$147='Dummy Table'!$BR37)*($CX$4:$CX$147=$CY$4:$CY$147))</f>
        <v>142</v>
      </c>
      <c r="BU37" s="217">
        <f>SUMPRODUCT(($CW$4:$CW$147='Dummy Table'!$BR37)*($CX$4:$CX$147&lt;$CY$4:$CY$147))</f>
        <v>0</v>
      </c>
      <c r="BV37" s="217">
        <f>SUMIF($CW$4:$CW$147,'Dummy Table'!$BR37,$CX$4:$CX$147)</f>
        <v>0</v>
      </c>
      <c r="BW37" s="217">
        <f>SUMIF($CW$4:$CW$147,'Dummy Table'!$BR37,$CY$4:$CY$147)</f>
        <v>0</v>
      </c>
      <c r="BX37" s="217">
        <f t="shared" si="161"/>
        <v>0</v>
      </c>
      <c r="BY37" s="217" t="str">
        <f t="shared" si="162"/>
        <v/>
      </c>
      <c r="BZ37" s="217">
        <f>SUMPRODUCT(($CZ$4:$CZ$147='Dummy Table'!$BR37)*($CX$4:$CX$147&lt;$CY$4:$CY$147))</f>
        <v>0</v>
      </c>
      <c r="CA37" s="217">
        <f>SUMPRODUCT(($CZ$4:$CZ$147='Dummy Table'!$BR37)*($CX$4:$CX$147=$CY$4:$CY$147))</f>
        <v>142</v>
      </c>
      <c r="CB37" s="217">
        <f>SUMPRODUCT(($CZ$4:$CZ$147='Dummy Table'!$BR37)*($CX$4:$CX$147&gt;$CY$4:$CY$147))</f>
        <v>0</v>
      </c>
      <c r="CC37" s="217">
        <f>SUMIF($CZ$4:$CZ$147,'Dummy Table'!$BR37,$CY$4:$CY$147)</f>
        <v>0</v>
      </c>
      <c r="CD37" s="217">
        <f>SUMIF($CZ$4:$CZ$147,'Dummy Table'!$BR37,$CX$4:$CX$147)</f>
        <v>0</v>
      </c>
      <c r="CE37" s="217">
        <f t="shared" si="163"/>
        <v>0</v>
      </c>
      <c r="CF37" s="217" t="str">
        <f t="shared" si="164"/>
        <v/>
      </c>
      <c r="CG37" s="217">
        <f t="shared" si="165"/>
        <v>0</v>
      </c>
      <c r="CH37" s="217">
        <f t="shared" si="166"/>
        <v>284</v>
      </c>
      <c r="CI37" s="217">
        <f t="shared" si="167"/>
        <v>0</v>
      </c>
      <c r="CJ37" s="217">
        <f t="shared" si="168"/>
        <v>0</v>
      </c>
      <c r="CK37" s="217">
        <f t="shared" si="169"/>
        <v>0</v>
      </c>
      <c r="CL37" s="217">
        <f t="shared" si="170"/>
        <v>0</v>
      </c>
      <c r="CM37" s="217">
        <f t="shared" si="171"/>
        <v>-1</v>
      </c>
      <c r="CN37" s="210">
        <f t="shared" si="172"/>
        <v>28000</v>
      </c>
      <c r="CO37" s="210">
        <f>SUMIF($CZ$4:$CZ$147,'Dummy Table'!$BR37,$CY$4:$CY$147)*2</f>
        <v>0</v>
      </c>
      <c r="CP37" s="210">
        <f>RANK(CM37,CM$36:CM$39)</f>
        <v>3</v>
      </c>
      <c r="CR37" s="210">
        <f>SUMPRODUCT((CM$36:CM$39=CM37)*(CL$36:CL$39&gt;CL37))</f>
        <v>0</v>
      </c>
      <c r="CS37" s="210">
        <f>SUMPRODUCT((CP$36:CP$39=CP37)*(CR$36:CR$39=CR37)*(CO$36:CO$39&gt;CO37))</f>
        <v>0</v>
      </c>
      <c r="CT37" s="210">
        <f>IF(BR37&lt;&gt;"",SUMPRODUCT((CP$36:CP$39=CP37)*(CR$36:CR$39=CR37)*(CS$36:CS$39=CS37)*(V$36:V$39&gt;V37)),0)</f>
        <v>0</v>
      </c>
      <c r="CU37" s="210">
        <f>IF($BR37&lt;&gt;"",SUMPRODUCT((CP$36:CP$39=CP37)*(CR$36:CR$39=CR37)*(CS$36:CS$39=CS37)*(CT$36:CT$39=CT37)*(T$36:T$39&gt;T37)),0)</f>
        <v>0</v>
      </c>
      <c r="CV37" s="210">
        <f>SUMPRODUCT((CP$36:CP$39=CP37)*(CR$36:CR$39=CR37)*(CS$36:CS$39=CS37)*(CT$36:CT$39=CT37)*(CU$36:CU$39=CU37)*(CN$36:CN$39&gt;CN37))</f>
        <v>1</v>
      </c>
      <c r="CW37" s="209" t="str">
        <f>IF(AND(COUNTIF($BR$4:$BR$35,'Group Stages'!$G43)&gt;0,COUNTIF($BR$4:$BR$35,'Group Stages'!$M43)&gt;0),'Group Stages'!$G43,"")</f>
        <v/>
      </c>
      <c r="CX37" s="209" t="str">
        <f>IF($CW37&lt;&gt;"",'Group Stages'!$I43,"")</f>
        <v/>
      </c>
      <c r="CY37" s="209" t="str">
        <f>IF($CW37&lt;&gt;"",'Group Stages'!$K43,"")</f>
        <v/>
      </c>
      <c r="CZ37" s="209" t="str">
        <f>IF($CW37&lt;&gt;"",'Group Stages'!$M43,"")</f>
        <v/>
      </c>
      <c r="DA37" s="210" t="str">
        <f t="shared" si="173"/>
        <v/>
      </c>
      <c r="DB37" s="209" t="str">
        <f t="shared" si="174"/>
        <v/>
      </c>
      <c r="DC37" s="209">
        <v>2</v>
      </c>
      <c r="DD37" s="209" t="str">
        <f t="shared" si="175"/>
        <v>VfL Wolfsburg</v>
      </c>
      <c r="DE37" s="209" t="str">
        <f t="shared" ref="DE37" si="179">IF(AND(DD37="",DD36=""),DC37,IF(AND(DD36&lt;&gt;"",DD37=""),1,""))</f>
        <v/>
      </c>
      <c r="DF37" s="209" t="str">
        <f>VLOOKUP(DE37,$BO$36:$BP$39,2,FALSE)</f>
        <v/>
      </c>
      <c r="DG37" s="209">
        <v>2</v>
      </c>
      <c r="DH37" s="209" t="str">
        <f t="shared" si="177"/>
        <v>VfL Wolfsburg</v>
      </c>
      <c r="DI37" s="209">
        <v>34</v>
      </c>
    </row>
    <row r="38" spans="1:113">
      <c r="A38" s="209">
        <f t="shared" si="135"/>
        <v>3</v>
      </c>
      <c r="B38" s="209" t="str">
        <f>'Team Setup'!B39</f>
        <v>AS Saint-Étienne</v>
      </c>
      <c r="C38" s="210">
        <f>SUMPRODUCT(('Group Stages'!$I$10:$I$153&lt;&gt;"")*('Group Stages'!$K$10:$K$153&lt;&gt;"")*('Group Stages'!$G$10:$G$153='Dummy Table'!$B38)*('Group Stages'!$I$10:$I$153&gt;'Group Stages'!$K$10:$K$153))</f>
        <v>0</v>
      </c>
      <c r="D38" s="210">
        <f>SUMPRODUCT(('Group Stages'!$I$10:$I$153&lt;&gt;"")*('Group Stages'!$K$10:$K$153&lt;&gt;"")*('Group Stages'!$G$10:$G$153='Dummy Table'!$B38)*('Group Stages'!$I$10:$I$153='Group Stages'!$K$10:$K$153))</f>
        <v>2</v>
      </c>
      <c r="E38" s="210">
        <f>SUMPRODUCT(('Group Stages'!$I$10:$I$153&lt;&gt;"")*('Group Stages'!$K$10:$K$153&lt;&gt;"")*('Group Stages'!$G$10:$G$153='Dummy Table'!$B38)*('Group Stages'!$I$10:$I$153&lt;'Group Stages'!$K$10:$K$153))</f>
        <v>0</v>
      </c>
      <c r="F38" s="210">
        <f>SUMIF('Group Stages'!$G$10:$G$153,'Dummy Table'!$B38,'Group Stages'!$I$10:$I$153)</f>
        <v>0</v>
      </c>
      <c r="G38" s="210">
        <f>SUMIF('Group Stages'!$G$10:$G$153,'Dummy Table'!$B38,'Group Stages'!$K$10:$K$153)</f>
        <v>0</v>
      </c>
      <c r="H38" s="210">
        <f t="shared" si="136"/>
        <v>0</v>
      </c>
      <c r="I38" s="210">
        <f t="shared" si="137"/>
        <v>2</v>
      </c>
      <c r="J38" s="209">
        <f>SUMPRODUCT(('Group Stages'!$I$10:$I$153&lt;&gt;"")*('Group Stages'!$K$10:$K$153&lt;&gt;"")*('Group Stages'!$M$10:$M$153='Dummy Table'!$B38)*('Group Stages'!$I$10:$I$153&lt;'Group Stages'!$K$10:$K$153))</f>
        <v>0</v>
      </c>
      <c r="K38" s="209">
        <f>SUMPRODUCT(('Group Stages'!$I$10:$I$153&lt;&gt;"")*('Group Stages'!$K$10:$K$153&lt;&gt;"")*('Group Stages'!$M$10:$M$153='Dummy Table'!$B38)*('Group Stages'!$I$10:$I$153='Group Stages'!$K$10:$K$153))</f>
        <v>1</v>
      </c>
      <c r="L38" s="209">
        <f>SUMPRODUCT(('Group Stages'!$I$10:$I$153&lt;&gt;"")*('Group Stages'!$K$10:$K$153&lt;&gt;"")*('Group Stages'!$M$10:$M$153='Dummy Table'!$B38)*('Group Stages'!$I$10:$I$153&gt;'Group Stages'!$K$10:$K$153))</f>
        <v>1</v>
      </c>
      <c r="M38" s="209">
        <f>SUMIF('Group Stages'!$M$10:$M$153,'Dummy Table'!$B38,'Group Stages'!$K$10:$K$153)</f>
        <v>0</v>
      </c>
      <c r="N38" s="209">
        <f>SUMIF('Group Stages'!$M$10:$M$153,'Dummy Table'!$B38,'Group Stages'!$I$10:$I$153)</f>
        <v>0</v>
      </c>
      <c r="O38" s="209">
        <f t="shared" si="138"/>
        <v>0</v>
      </c>
      <c r="P38" s="209">
        <f t="shared" si="139"/>
        <v>1</v>
      </c>
      <c r="Q38" s="209">
        <f t="shared" si="140"/>
        <v>0</v>
      </c>
      <c r="R38" s="209">
        <f t="shared" si="141"/>
        <v>3</v>
      </c>
      <c r="S38" s="209">
        <f t="shared" si="142"/>
        <v>1</v>
      </c>
      <c r="T38" s="209">
        <f t="shared" si="143"/>
        <v>0</v>
      </c>
      <c r="U38" s="209">
        <f t="shared" si="144"/>
        <v>0</v>
      </c>
      <c r="V38" s="209">
        <f t="shared" si="145"/>
        <v>0</v>
      </c>
      <c r="W38" s="209">
        <f t="shared" si="146"/>
        <v>3</v>
      </c>
      <c r="X38" s="210">
        <f>IF('Team Setup'!F39&lt;&gt;"",'Team Setup'!F39,DI38)</f>
        <v>21000</v>
      </c>
      <c r="Y38" s="210">
        <f>RANK(W38,W$36:W$39)</f>
        <v>3</v>
      </c>
      <c r="Z38" s="210">
        <f>SUMPRODUCT((W$36:W$39=W38)*(V$36:V$39&gt;V38))</f>
        <v>0</v>
      </c>
      <c r="AA38" s="210">
        <f>SUMPRODUCT((Y$36:Y$39=Y38)*(Z$36:Z$39=Z38)*(T$36:T$39&gt;T38))</f>
        <v>0</v>
      </c>
      <c r="AB38" s="210">
        <f>SUMPRODUCT((Y$36:Y$39=Y38)*(Z$36:Z$39=Z38)*(T$36:T$39=T38)*(X$36:X$39&gt;X38))</f>
        <v>0</v>
      </c>
      <c r="AC38" s="209">
        <v>3</v>
      </c>
      <c r="AD38" s="209" t="str">
        <f>VLOOKUP(AC38,$A$36:$B$39,2,FALSE)</f>
        <v>AS Saint-Étienne</v>
      </c>
      <c r="AE38" s="209">
        <f>VLOOKUP($AD38,$B$36:$W$39,22,FALSE)</f>
        <v>3</v>
      </c>
      <c r="AF38" s="209" t="str">
        <f t="shared" ref="AF38" si="180">IF(AE38=AE37,AD38,"")</f>
        <v/>
      </c>
      <c r="AG38" s="210">
        <f>SUMPRODUCT(($BK$4:$BK$147='Dummy Table'!$AF38)*($BL$4:$BL$147&gt;$BM$4:$BM$147))</f>
        <v>0</v>
      </c>
      <c r="AH38" s="210">
        <f>SUMPRODUCT(($BK$4:$BK$147='Dummy Table'!$AF38)*($BL$4:$BL$147=$BM$4:$BM$147))</f>
        <v>134</v>
      </c>
      <c r="AI38" s="210">
        <f>SUMPRODUCT(($BK$4:$BK$147='Dummy Table'!$AF38)*($BL$4:$BL$147&lt;$BM$4:$BM$147))</f>
        <v>0</v>
      </c>
      <c r="AJ38" s="210">
        <f>SUMIF($BK$4:$BK$147,'Dummy Table'!$AF38,$BL$4:$BL$147)</f>
        <v>0</v>
      </c>
      <c r="AK38" s="210">
        <f>SUMIF($BK$4:$BK$147,'Dummy Table'!$AF38,$BM$4:$BM$147)</f>
        <v>0</v>
      </c>
      <c r="AL38" s="210">
        <f t="shared" si="148"/>
        <v>0</v>
      </c>
      <c r="AM38" s="210" t="str">
        <f t="shared" si="149"/>
        <v/>
      </c>
      <c r="AN38" s="210">
        <f>SUMPRODUCT(($BN$4:$BN$147='Dummy Table'!$AF38)*($BL$4:$BL$147&lt;$BM$4:$BM$147))</f>
        <v>0</v>
      </c>
      <c r="AO38" s="210">
        <f>SUMPRODUCT(($BN$4:$BN$147='Dummy Table'!$AF38)*($BL$4:$BL$147=$BM$4:$BM$147))</f>
        <v>134</v>
      </c>
      <c r="AP38" s="210">
        <f>SUMPRODUCT(($BN$4:$BN$147='Dummy Table'!$AF38)*($BL$4:$BL$147&gt;$BM$4:$BM$147))</f>
        <v>0</v>
      </c>
      <c r="AQ38" s="210">
        <f>SUMIF($BN$4:$BN$147,'Dummy Table'!$AF38,$BM$4:$BM$147)</f>
        <v>0</v>
      </c>
      <c r="AR38" s="210">
        <f>SUMIF($BN$4:$BN$147,'Dummy Table'!$AF38,$BL$4:$BL$147)</f>
        <v>0</v>
      </c>
      <c r="AS38" s="210">
        <f t="shared" si="150"/>
        <v>0</v>
      </c>
      <c r="AT38" s="210" t="str">
        <f t="shared" si="151"/>
        <v/>
      </c>
      <c r="AU38" s="210">
        <f t="shared" si="152"/>
        <v>0</v>
      </c>
      <c r="AV38" s="210">
        <f t="shared" si="153"/>
        <v>268</v>
      </c>
      <c r="AW38" s="210">
        <f t="shared" si="154"/>
        <v>0</v>
      </c>
      <c r="AX38" s="210">
        <f t="shared" si="155"/>
        <v>0</v>
      </c>
      <c r="AY38" s="210">
        <f t="shared" si="156"/>
        <v>0</v>
      </c>
      <c r="AZ38" s="210">
        <f t="shared" si="157"/>
        <v>0</v>
      </c>
      <c r="BA38" s="210">
        <f t="shared" si="158"/>
        <v>-1</v>
      </c>
      <c r="BB38" s="209" t="str">
        <f t="shared" si="2"/>
        <v/>
      </c>
      <c r="BC38" s="209" t="str">
        <f t="shared" si="3"/>
        <v/>
      </c>
      <c r="BD38" s="209" t="str">
        <f t="shared" si="4"/>
        <v/>
      </c>
      <c r="BE38" s="209">
        <f>RANK(BA38,BA$36:BA$39)</f>
        <v>1</v>
      </c>
      <c r="BF38" s="209">
        <f>SUMPRODUCT((BA$36:BA$39=BA38)*(AZ$36:AZ$39&gt;AZ38))</f>
        <v>0</v>
      </c>
      <c r="BG38" s="209">
        <f>SUMPRODUCT((BA$36:BA$39=BA38)*(BE$36:BE$39=BE38)*(AZ$36:AZ$39=AZ38)*(AQ$36:AQ$39&gt;AQ38))</f>
        <v>0</v>
      </c>
      <c r="BH38" s="209">
        <f>SUMPRODUCT((BA$36:BA$39=BA38)*(BE$36:BE$39=BE38)*(AZ$36:AZ$39=AZ38)*(AQ$36:AQ$39=AQ38)*(BB$36:BB$39&gt;BB38))</f>
        <v>0</v>
      </c>
      <c r="BI38" s="209">
        <f>SUMPRODUCT((BA$36:BA$39=BA38)*(BE$36:BE$39=BE38)*(AZ$36:AZ$39=AZ38)*(AQ$36:AQ$39=AQ38)*(BB$36:BB$39=BB38)*(BC$36:BC$39&gt;BC38))</f>
        <v>0</v>
      </c>
      <c r="BJ38" s="209">
        <f>SUMPRODUCT((BA$36:BA$39=BA38)*(BE$36:BE$39=BE38)*(AZ$36:AZ$39=AZ38)*(AQ$36:AQ$39=AQ38)*(BB$36:BB$39=BB38)*(BC$36:BC$39=BC38)*(BD$36:BD$39&gt;BD38))</f>
        <v>0</v>
      </c>
      <c r="BK38" s="209" t="str">
        <f>IF(AND(COUNTIF($AF$4:$AF$35,'Group Stages'!G44)&gt;0,COUNTIF($AF$4:$AF$35,'Group Stages'!M44)&gt;0,'Group Stages'!I44&lt;&gt;"",'Group Stages'!K44&lt;&gt;""),'Group Stages'!G44,"")</f>
        <v/>
      </c>
      <c r="BL38" s="209" t="str">
        <f>IF($BK38&lt;&gt;"",'Group Stages'!I44,"")</f>
        <v/>
      </c>
      <c r="BM38" s="209" t="str">
        <f>IF($BK38&lt;&gt;"",'Group Stages'!K44,"")</f>
        <v/>
      </c>
      <c r="BN38" s="209" t="str">
        <f>IF($BK38&lt;&gt;"",'Group Stages'!M44,"")</f>
        <v/>
      </c>
      <c r="BO38" s="209" t="str">
        <f t="shared" si="159"/>
        <v/>
      </c>
      <c r="BP38" s="209" t="str">
        <f t="shared" si="160"/>
        <v/>
      </c>
      <c r="BQ38" s="209">
        <f>VLOOKUP($AD38,$B$36:$W$39,22,FALSE)</f>
        <v>3</v>
      </c>
      <c r="BR38" s="209" t="str">
        <f t="shared" ref="BR38" si="181">IF(AND(BQ38&lt;&gt;BQ37,BQ38=BQ39),AD38,"")</f>
        <v>AS Saint-Étienne</v>
      </c>
      <c r="BS38" s="217">
        <f>SUMPRODUCT(($CW$4:$CW$147='Dummy Table'!$BR38)*($CX$4:$CX$147&gt;$CY$4:$CY$147))</f>
        <v>0</v>
      </c>
      <c r="BT38" s="217">
        <f>SUMPRODUCT(($CW$4:$CW$147='Dummy Table'!$BR38)*($CX$4:$CX$147=$CY$4:$CY$147))</f>
        <v>0</v>
      </c>
      <c r="BU38" s="217">
        <f>SUMPRODUCT(($CW$4:$CW$147='Dummy Table'!$BR38)*($CX$4:$CX$147&lt;$CY$4:$CY$147))</f>
        <v>0</v>
      </c>
      <c r="BV38" s="217">
        <f>SUMIF($CW$4:$CW$147,'Dummy Table'!$BR38,$CX$4:$CX$147)</f>
        <v>0</v>
      </c>
      <c r="BW38" s="217">
        <f>SUMIF($CW$4:$CW$147,'Dummy Table'!$BR38,$CY$4:$CY$147)</f>
        <v>0</v>
      </c>
      <c r="BX38" s="217">
        <f t="shared" si="161"/>
        <v>0</v>
      </c>
      <c r="BY38" s="217">
        <f t="shared" si="162"/>
        <v>0</v>
      </c>
      <c r="BZ38" s="217">
        <f>SUMPRODUCT(($CZ$4:$CZ$147='Dummy Table'!$BR38)*($CX$4:$CX$147&lt;$CY$4:$CY$147))</f>
        <v>0</v>
      </c>
      <c r="CA38" s="217">
        <f>SUMPRODUCT(($CZ$4:$CZ$147='Dummy Table'!$BR38)*($CX$4:$CX$147=$CY$4:$CY$147))</f>
        <v>0</v>
      </c>
      <c r="CB38" s="217">
        <f>SUMPRODUCT(($CZ$4:$CZ$147='Dummy Table'!$BR38)*($CX$4:$CX$147&gt;$CY$4:$CY$147))</f>
        <v>0</v>
      </c>
      <c r="CC38" s="217">
        <f>SUMIF($CZ$4:$CZ$147,'Dummy Table'!$BR38,$CY$4:$CY$147)</f>
        <v>0</v>
      </c>
      <c r="CD38" s="217">
        <f>SUMIF($CZ$4:$CZ$147,'Dummy Table'!$BR38,$CX$4:$CX$147)</f>
        <v>0</v>
      </c>
      <c r="CE38" s="217">
        <f t="shared" si="163"/>
        <v>0</v>
      </c>
      <c r="CF38" s="217">
        <f t="shared" si="164"/>
        <v>0</v>
      </c>
      <c r="CG38" s="217">
        <f t="shared" si="165"/>
        <v>0</v>
      </c>
      <c r="CH38" s="217">
        <f t="shared" si="166"/>
        <v>0</v>
      </c>
      <c r="CI38" s="217">
        <f t="shared" si="167"/>
        <v>0</v>
      </c>
      <c r="CJ38" s="217">
        <f t="shared" si="168"/>
        <v>0</v>
      </c>
      <c r="CK38" s="217">
        <f t="shared" si="169"/>
        <v>0</v>
      </c>
      <c r="CL38" s="217">
        <f t="shared" si="170"/>
        <v>0</v>
      </c>
      <c r="CM38" s="217">
        <f t="shared" si="171"/>
        <v>0</v>
      </c>
      <c r="CN38" s="210">
        <f t="shared" si="172"/>
        <v>21000</v>
      </c>
      <c r="CO38" s="210">
        <f>SUMIF($CZ$4:$CZ$147,'Dummy Table'!$BR38,$CY$4:$CY$147)*2</f>
        <v>0</v>
      </c>
      <c r="CP38" s="210">
        <f>RANK(CM38,CM$36:CM$39)</f>
        <v>1</v>
      </c>
      <c r="CR38" s="210">
        <f>SUMPRODUCT((CM$36:CM$39=CM38)*(CL$36:CL$39&gt;CL38))</f>
        <v>0</v>
      </c>
      <c r="CS38" s="210">
        <f>SUMPRODUCT((CP$36:CP$39=CP38)*(CR$36:CR$39=CR38)*(CO$36:CO$39&gt;CO38))</f>
        <v>0</v>
      </c>
      <c r="CT38" s="210">
        <f>IF(BR38&lt;&gt;"",SUMPRODUCT((CP$36:CP$39=CP38)*(CR$36:CR$39=CR38)*(CS$36:CS$39=CS38)*(V$36:V$39&gt;V38)),0)</f>
        <v>0</v>
      </c>
      <c r="CU38" s="210">
        <f>IF($BR38&lt;&gt;"",SUMPRODUCT((CP$36:CP$39=CP38)*(CR$36:CR$39=CR38)*(CS$36:CS$39=CS38)*(CT$36:CT$39=CT38)*(T$36:T$39&gt;T38)),0)</f>
        <v>0</v>
      </c>
      <c r="CV38" s="210">
        <f>SUMPRODUCT((CP$36:CP$39=CP38)*(CR$36:CR$39=CR38)*(CS$36:CS$39=CS38)*(CT$36:CT$39=CT38)*(CU$36:CU$39=CU38)*(CN$36:CN$39&gt;CN38))</f>
        <v>0</v>
      </c>
      <c r="CW38" s="209" t="str">
        <f>IF(AND(COUNTIF($BR$4:$BR$35,'Group Stages'!$G44)&gt;0,COUNTIF($BR$4:$BR$35,'Group Stages'!$M44)&gt;0),'Group Stages'!$G44,"")</f>
        <v/>
      </c>
      <c r="CX38" s="209" t="str">
        <f>IF($CW38&lt;&gt;"",'Group Stages'!$I44,"")</f>
        <v/>
      </c>
      <c r="CY38" s="209" t="str">
        <f>IF($CW38&lt;&gt;"",'Group Stages'!$K44,"")</f>
        <v/>
      </c>
      <c r="CZ38" s="209" t="str">
        <f>IF($CW38&lt;&gt;"",'Group Stages'!$M44,"")</f>
        <v/>
      </c>
      <c r="DA38" s="210">
        <f t="shared" si="173"/>
        <v>1</v>
      </c>
      <c r="DB38" s="209" t="str">
        <f t="shared" si="174"/>
        <v>AS Saint-Étienne</v>
      </c>
      <c r="DC38" s="209">
        <v>3</v>
      </c>
      <c r="DD38" s="209" t="str">
        <f t="shared" si="175"/>
        <v>AS Saint-Étienne</v>
      </c>
      <c r="DE38" s="209" t="str">
        <f t="shared" ref="DE38" si="182">IF(AND(DD38="",DD37="",DD36=""),DC38,IF(AND(DD36&lt;&gt;"",DD37="",DD38=""),2,IF(AND(DD36&lt;&gt;"",DD37&lt;&gt;"",DD38=""),1,"")))</f>
        <v/>
      </c>
      <c r="DF38" s="209" t="str">
        <f>VLOOKUP(DE38,$BO$36:$BP$39,2,FALSE)</f>
        <v/>
      </c>
      <c r="DG38" s="209">
        <v>3</v>
      </c>
      <c r="DH38" s="209" t="str">
        <f t="shared" ref="DH38" si="183">IF(DB38&lt;&gt;"",IF(DA38&lt;DA39,DB38,DB39),IF(DF38&lt;&gt;"",DF38,DD38))</f>
        <v>AS Saint-Étienne</v>
      </c>
      <c r="DI38" s="209">
        <v>35</v>
      </c>
    </row>
    <row r="39" spans="1:113">
      <c r="A39" s="209">
        <f t="shared" si="135"/>
        <v>4</v>
      </c>
      <c r="B39" s="209" t="str">
        <f>'Team Setup'!B40</f>
        <v>FC Oleksandriya</v>
      </c>
      <c r="C39" s="210">
        <f>SUMPRODUCT(('Group Stages'!$I$10:$I$153&lt;&gt;"")*('Group Stages'!$K$10:$K$153&lt;&gt;"")*('Group Stages'!$G$10:$G$153='Dummy Table'!$B39)*('Group Stages'!$I$10:$I$153&gt;'Group Stages'!$K$10:$K$153))</f>
        <v>0</v>
      </c>
      <c r="D39" s="210">
        <f>SUMPRODUCT(('Group Stages'!$I$10:$I$153&lt;&gt;"")*('Group Stages'!$K$10:$K$153&lt;&gt;"")*('Group Stages'!$G$10:$G$153='Dummy Table'!$B39)*('Group Stages'!$I$10:$I$153='Group Stages'!$K$10:$K$153))</f>
        <v>2</v>
      </c>
      <c r="E39" s="210">
        <f>SUMPRODUCT(('Group Stages'!$I$10:$I$153&lt;&gt;"")*('Group Stages'!$K$10:$K$153&lt;&gt;"")*('Group Stages'!$G$10:$G$153='Dummy Table'!$B39)*('Group Stages'!$I$10:$I$153&lt;'Group Stages'!$K$10:$K$153))</f>
        <v>0</v>
      </c>
      <c r="F39" s="210">
        <f>SUMIF('Group Stages'!$G$10:$G$153,'Dummy Table'!$B39,'Group Stages'!$I$10:$I$153)</f>
        <v>0</v>
      </c>
      <c r="G39" s="210">
        <f>SUMIF('Group Stages'!$G$10:$G$153,'Dummy Table'!$B39,'Group Stages'!$K$10:$K$153)</f>
        <v>0</v>
      </c>
      <c r="H39" s="210">
        <f t="shared" si="136"/>
        <v>0</v>
      </c>
      <c r="I39" s="210">
        <f t="shared" si="137"/>
        <v>2</v>
      </c>
      <c r="J39" s="209">
        <f>SUMPRODUCT(('Group Stages'!$I$10:$I$153&lt;&gt;"")*('Group Stages'!$K$10:$K$153&lt;&gt;"")*('Group Stages'!$M$10:$M$153='Dummy Table'!$B39)*('Group Stages'!$I$10:$I$153&lt;'Group Stages'!$K$10:$K$153))</f>
        <v>0</v>
      </c>
      <c r="K39" s="209">
        <f>SUMPRODUCT(('Group Stages'!$I$10:$I$153&lt;&gt;"")*('Group Stages'!$K$10:$K$153&lt;&gt;"")*('Group Stages'!$M$10:$M$153='Dummy Table'!$B39)*('Group Stages'!$I$10:$I$153='Group Stages'!$K$10:$K$153))</f>
        <v>1</v>
      </c>
      <c r="L39" s="209">
        <f>SUMPRODUCT(('Group Stages'!$I$10:$I$153&lt;&gt;"")*('Group Stages'!$K$10:$K$153&lt;&gt;"")*('Group Stages'!$M$10:$M$153='Dummy Table'!$B39)*('Group Stages'!$I$10:$I$153&gt;'Group Stages'!$K$10:$K$153))</f>
        <v>1</v>
      </c>
      <c r="M39" s="209">
        <f>SUMIF('Group Stages'!$M$10:$M$153,'Dummy Table'!$B39,'Group Stages'!$K$10:$K$153)</f>
        <v>0</v>
      </c>
      <c r="N39" s="209">
        <f>SUMIF('Group Stages'!$M$10:$M$153,'Dummy Table'!$B39,'Group Stages'!$I$10:$I$153)</f>
        <v>0</v>
      </c>
      <c r="O39" s="209">
        <f t="shared" si="138"/>
        <v>0</v>
      </c>
      <c r="P39" s="209">
        <f t="shared" si="139"/>
        <v>1</v>
      </c>
      <c r="Q39" s="209">
        <f t="shared" si="140"/>
        <v>0</v>
      </c>
      <c r="R39" s="209">
        <f t="shared" si="141"/>
        <v>3</v>
      </c>
      <c r="S39" s="209">
        <f t="shared" si="142"/>
        <v>1</v>
      </c>
      <c r="T39" s="209">
        <f t="shared" si="143"/>
        <v>0</v>
      </c>
      <c r="U39" s="209">
        <f t="shared" si="144"/>
        <v>0</v>
      </c>
      <c r="V39" s="209">
        <f t="shared" si="145"/>
        <v>0</v>
      </c>
      <c r="W39" s="209">
        <f t="shared" si="146"/>
        <v>3</v>
      </c>
      <c r="X39" s="210">
        <f>IF('Team Setup'!F40&lt;&gt;"",'Team Setup'!F40,DI39)</f>
        <v>5500</v>
      </c>
      <c r="Y39" s="210">
        <f>RANK(W39,W$36:W$39)</f>
        <v>3</v>
      </c>
      <c r="Z39" s="210">
        <f>SUMPRODUCT((W$36:W$39=W39)*(V$36:V$39&gt;V39))</f>
        <v>0</v>
      </c>
      <c r="AA39" s="210">
        <f>SUMPRODUCT((Y$36:Y$39=Y39)*(Z$36:Z$39=Z39)*(T$36:T$39&gt;T39))</f>
        <v>0</v>
      </c>
      <c r="AB39" s="210">
        <f>SUMPRODUCT((Y$36:Y$39=Y39)*(Z$36:Z$39=Z39)*(T$36:T$39=T39)*(X$36:X$39&gt;X39))</f>
        <v>1</v>
      </c>
      <c r="AC39" s="209">
        <v>4</v>
      </c>
      <c r="AD39" s="209" t="str">
        <f>VLOOKUP(AC39,$A$36:$B$39,2,FALSE)</f>
        <v>FC Oleksandriya</v>
      </c>
      <c r="AE39" s="209">
        <f>VLOOKUP($AD39,$B$36:$W$39,22,FALSE)</f>
        <v>3</v>
      </c>
      <c r="AF39" s="209" t="str">
        <f t="shared" ref="AF39" si="184">IF(AND(AE39=AE38,AE38=AE37),AD39,"")</f>
        <v/>
      </c>
      <c r="AG39" s="210">
        <f>SUMPRODUCT(($BK$4:$BK$147='Dummy Table'!$AF39)*($BL$4:$BL$147&gt;$BM$4:$BM$147))</f>
        <v>0</v>
      </c>
      <c r="AH39" s="210">
        <f>SUMPRODUCT(($BK$4:$BK$147='Dummy Table'!$AF39)*($BL$4:$BL$147=$BM$4:$BM$147))</f>
        <v>134</v>
      </c>
      <c r="AI39" s="210">
        <f>SUMPRODUCT(($BK$4:$BK$147='Dummy Table'!$AF39)*($BL$4:$BL$147&lt;$BM$4:$BM$147))</f>
        <v>0</v>
      </c>
      <c r="AJ39" s="210">
        <f>SUMIF($BK$4:$BK$147,'Dummy Table'!$AF39,$BL$4:$BL$147)</f>
        <v>0</v>
      </c>
      <c r="AK39" s="210">
        <f>SUMIF($BK$4:$BK$147,'Dummy Table'!$AF39,$BM$4:$BM$147)</f>
        <v>0</v>
      </c>
      <c r="AL39" s="210">
        <f t="shared" si="148"/>
        <v>0</v>
      </c>
      <c r="AM39" s="210" t="str">
        <f t="shared" si="149"/>
        <v/>
      </c>
      <c r="AN39" s="210">
        <f>SUMPRODUCT(($BN$4:$BN$147='Dummy Table'!$AF39)*($BL$4:$BL$147&lt;$BM$4:$BM$147))</f>
        <v>0</v>
      </c>
      <c r="AO39" s="210">
        <f>SUMPRODUCT(($BN$4:$BN$147='Dummy Table'!$AF39)*($BL$4:$BL$147=$BM$4:$BM$147))</f>
        <v>134</v>
      </c>
      <c r="AP39" s="210">
        <f>SUMPRODUCT(($BN$4:$BN$147='Dummy Table'!$AF39)*($BL$4:$BL$147&gt;$BM$4:$BM$147))</f>
        <v>0</v>
      </c>
      <c r="AQ39" s="210">
        <f>SUMIF($BN$4:$BN$147,'Dummy Table'!$AF39,$BM$4:$BM$147)</f>
        <v>0</v>
      </c>
      <c r="AR39" s="210">
        <f>SUMIF($BN$4:$BN$147,'Dummy Table'!$AF39,$BL$4:$BL$147)</f>
        <v>0</v>
      </c>
      <c r="AS39" s="210">
        <f t="shared" si="150"/>
        <v>0</v>
      </c>
      <c r="AT39" s="210" t="str">
        <f t="shared" si="151"/>
        <v/>
      </c>
      <c r="AU39" s="210">
        <f t="shared" si="152"/>
        <v>0</v>
      </c>
      <c r="AV39" s="210">
        <f t="shared" si="153"/>
        <v>268</v>
      </c>
      <c r="AW39" s="210">
        <f t="shared" si="154"/>
        <v>0</v>
      </c>
      <c r="AX39" s="210">
        <f t="shared" si="155"/>
        <v>0</v>
      </c>
      <c r="AY39" s="210">
        <f t="shared" si="156"/>
        <v>0</v>
      </c>
      <c r="AZ39" s="210">
        <f t="shared" si="157"/>
        <v>0</v>
      </c>
      <c r="BA39" s="210">
        <f t="shared" si="158"/>
        <v>-1</v>
      </c>
      <c r="BB39" s="209" t="str">
        <f t="shared" si="2"/>
        <v/>
      </c>
      <c r="BC39" s="209" t="str">
        <f t="shared" si="3"/>
        <v/>
      </c>
      <c r="BD39" s="209" t="str">
        <f t="shared" si="4"/>
        <v/>
      </c>
      <c r="BE39" s="209">
        <f>RANK(BA39,BA$36:BA$39)</f>
        <v>1</v>
      </c>
      <c r="BF39" s="209">
        <f>SUMPRODUCT((BA$36:BA$39=BA39)*(AZ$36:AZ$39&gt;AZ39))</f>
        <v>0</v>
      </c>
      <c r="BG39" s="209">
        <f>SUMPRODUCT((BA$36:BA$39=BA39)*(BE$36:BE$39=BE39)*(AZ$36:AZ$39=AZ39)*(AQ$36:AQ$39&gt;AQ39))</f>
        <v>0</v>
      </c>
      <c r="BH39" s="209">
        <f>SUMPRODUCT((BA$36:BA$39=BA39)*(BE$36:BE$39=BE39)*(AZ$36:AZ$39=AZ39)*(AQ$36:AQ$39=AQ39)*(BB$36:BB$39&gt;BB39))</f>
        <v>0</v>
      </c>
      <c r="BI39" s="209">
        <f>SUMPRODUCT((BA$36:BA$39=BA39)*(BE$36:BE$39=BE39)*(AZ$36:AZ$39=AZ39)*(AQ$36:AQ$39=AQ39)*(BB$36:BB$39=BB39)*(BC$36:BC$39&gt;BC39))</f>
        <v>0</v>
      </c>
      <c r="BJ39" s="209">
        <f>SUMPRODUCT((BA$36:BA$39=BA39)*(BE$36:BE$39=BE39)*(AZ$36:AZ$39=AZ39)*(AQ$36:AQ$39=AQ39)*(BB$36:BB$39=BB39)*(BC$36:BC$39=BC39)*(BD$36:BD$39&gt;BD39))</f>
        <v>0</v>
      </c>
      <c r="BK39" s="209" t="str">
        <f>IF(AND(COUNTIF($AF$4:$AF$35,'Group Stages'!G45)&gt;0,COUNTIF($AF$4:$AF$35,'Group Stages'!M45)&gt;0,'Group Stages'!I45&lt;&gt;"",'Group Stages'!K45&lt;&gt;""),'Group Stages'!G45,"")</f>
        <v/>
      </c>
      <c r="BL39" s="209" t="str">
        <f>IF($BK39&lt;&gt;"",'Group Stages'!I45,"")</f>
        <v/>
      </c>
      <c r="BM39" s="209" t="str">
        <f>IF($BK39&lt;&gt;"",'Group Stages'!K45,"")</f>
        <v/>
      </c>
      <c r="BN39" s="209" t="str">
        <f>IF($BK39&lt;&gt;"",'Group Stages'!M45,"")</f>
        <v/>
      </c>
      <c r="BO39" s="209" t="str">
        <f t="shared" si="159"/>
        <v/>
      </c>
      <c r="BP39" s="209" t="str">
        <f t="shared" si="160"/>
        <v/>
      </c>
      <c r="BQ39" s="209">
        <f>VLOOKUP($AD39,$B$36:$W$39,22,FALSE)</f>
        <v>3</v>
      </c>
      <c r="BR39" s="209" t="str">
        <f t="shared" ref="BR39" si="185">IF(BR38&lt;&gt;"",AD39,"")</f>
        <v>FC Oleksandriya</v>
      </c>
      <c r="BS39" s="217">
        <f>SUMPRODUCT(($CW$4:$CW$147='Dummy Table'!$BR39)*($CX$4:$CX$147&gt;$CY$4:$CY$147))</f>
        <v>0</v>
      </c>
      <c r="BT39" s="217">
        <f>SUMPRODUCT(($CW$4:$CW$147='Dummy Table'!$BR39)*($CX$4:$CX$147=$CY$4:$CY$147))</f>
        <v>0</v>
      </c>
      <c r="BU39" s="217">
        <f>SUMPRODUCT(($CW$4:$CW$147='Dummy Table'!$BR39)*($CX$4:$CX$147&lt;$CY$4:$CY$147))</f>
        <v>0</v>
      </c>
      <c r="BV39" s="217">
        <f>SUMIF($CW$4:$CW$147,'Dummy Table'!$BR39,$CX$4:$CX$147)</f>
        <v>0</v>
      </c>
      <c r="BW39" s="217">
        <f>SUMIF($CW$4:$CW$147,'Dummy Table'!$BR39,$CY$4:$CY$147)</f>
        <v>0</v>
      </c>
      <c r="BX39" s="217">
        <f t="shared" si="161"/>
        <v>0</v>
      </c>
      <c r="BY39" s="217">
        <f t="shared" si="162"/>
        <v>0</v>
      </c>
      <c r="BZ39" s="217">
        <f>SUMPRODUCT(($CZ$4:$CZ$147='Dummy Table'!$BR39)*($CX$4:$CX$147&lt;$CY$4:$CY$147))</f>
        <v>0</v>
      </c>
      <c r="CA39" s="217">
        <f>SUMPRODUCT(($CZ$4:$CZ$147='Dummy Table'!$BR39)*($CX$4:$CX$147=$CY$4:$CY$147))</f>
        <v>0</v>
      </c>
      <c r="CB39" s="217">
        <f>SUMPRODUCT(($CZ$4:$CZ$147='Dummy Table'!$BR39)*($CX$4:$CX$147&gt;$CY$4:$CY$147))</f>
        <v>0</v>
      </c>
      <c r="CC39" s="217">
        <f>SUMIF($CZ$4:$CZ$147,'Dummy Table'!$BR39,$CY$4:$CY$147)</f>
        <v>0</v>
      </c>
      <c r="CD39" s="217">
        <f>SUMIF($CZ$4:$CZ$147,'Dummy Table'!$BR39,$CX$4:$CX$147)</f>
        <v>0</v>
      </c>
      <c r="CE39" s="217">
        <f t="shared" si="163"/>
        <v>0</v>
      </c>
      <c r="CF39" s="217">
        <f t="shared" si="164"/>
        <v>0</v>
      </c>
      <c r="CG39" s="217">
        <f t="shared" si="165"/>
        <v>0</v>
      </c>
      <c r="CH39" s="217">
        <f t="shared" si="166"/>
        <v>0</v>
      </c>
      <c r="CI39" s="217">
        <f t="shared" si="167"/>
        <v>0</v>
      </c>
      <c r="CJ39" s="217">
        <f t="shared" si="168"/>
        <v>0</v>
      </c>
      <c r="CK39" s="217">
        <f t="shared" si="169"/>
        <v>0</v>
      </c>
      <c r="CL39" s="217">
        <f t="shared" si="170"/>
        <v>0</v>
      </c>
      <c r="CM39" s="217">
        <f t="shared" si="171"/>
        <v>0</v>
      </c>
      <c r="CN39" s="210">
        <f t="shared" si="172"/>
        <v>5500</v>
      </c>
      <c r="CO39" s="210">
        <f>SUMIF($CZ$4:$CZ$147,'Dummy Table'!$BR39,$CY$4:$CY$147)*2</f>
        <v>0</v>
      </c>
      <c r="CP39" s="210">
        <f>RANK(CM39,CM$36:CM$39)</f>
        <v>1</v>
      </c>
      <c r="CR39" s="210">
        <f>SUMPRODUCT((CM$36:CM$39=CM39)*(CL$36:CL$39&gt;CL39))</f>
        <v>0</v>
      </c>
      <c r="CS39" s="210">
        <f>SUMPRODUCT((CP$36:CP$39=CP39)*(CR$36:CR$39=CR39)*(CO$36:CO$39&gt;CO39))</f>
        <v>0</v>
      </c>
      <c r="CT39" s="210">
        <f>IF(BR39&lt;&gt;"",SUMPRODUCT((CP$36:CP$39=CP39)*(CR$36:CR$39=CR39)*(CS$36:CS$39=CS39)*(V$36:V$39&gt;V39)),0)</f>
        <v>0</v>
      </c>
      <c r="CU39" s="210">
        <f>IF($BR39&lt;&gt;"",SUMPRODUCT((CP$36:CP$39=CP39)*(CR$36:CR$39=CR39)*(CS$36:CS$39=CS39)*(CT$36:CT$39=CT39)*(T$36:T$39&gt;T39)),0)</f>
        <v>0</v>
      </c>
      <c r="CV39" s="210">
        <f>SUMPRODUCT((CP$36:CP$39=CP39)*(CR$36:CR$39=CR39)*(CS$36:CS$39=CS39)*(CT$36:CT$39=CT39)*(CU$36:CU$39=CU39)*(CN$36:CN$39&gt;CN39))</f>
        <v>1</v>
      </c>
      <c r="CW39" s="209" t="str">
        <f>IF(AND(COUNTIF($BR$4:$BR$35,'Group Stages'!$G45)&gt;0,COUNTIF($BR$4:$BR$35,'Group Stages'!$M45)&gt;0),'Group Stages'!$G45,"")</f>
        <v/>
      </c>
      <c r="CX39" s="209" t="str">
        <f>IF($CW39&lt;&gt;"",'Group Stages'!$I45,"")</f>
        <v/>
      </c>
      <c r="CY39" s="209" t="str">
        <f>IF($CW39&lt;&gt;"",'Group Stages'!$K45,"")</f>
        <v/>
      </c>
      <c r="CZ39" s="209" t="str">
        <f>IF($CW39&lt;&gt;"",'Group Stages'!$M45,"")</f>
        <v/>
      </c>
      <c r="DA39" s="210">
        <f t="shared" si="173"/>
        <v>2</v>
      </c>
      <c r="DB39" s="209" t="str">
        <f t="shared" si="174"/>
        <v>FC Oleksandriya</v>
      </c>
      <c r="DC39" s="209">
        <v>4</v>
      </c>
      <c r="DD39" s="209" t="str">
        <f t="shared" si="175"/>
        <v>FC Oleksandriya</v>
      </c>
      <c r="DE39" s="209" t="str">
        <f t="shared" ref="DE39" si="186">IF(AND(DD39="",DD38="",DD37="",DD36=""),4,IF(AND(DD39="",DD38="",DD37=""),3,IF(AND(DD37&lt;&gt;"",DD38="",DD39=""),2,IF(AND(DD37&lt;&gt;"",DD38&lt;&gt;"",DD39=""),1,""))))</f>
        <v/>
      </c>
      <c r="DF39" s="209" t="str">
        <f>VLOOKUP(DE39,$BO$36:$BP$39,2,FALSE)</f>
        <v/>
      </c>
      <c r="DG39" s="209">
        <v>4</v>
      </c>
      <c r="DH39" s="209" t="str">
        <f t="shared" ref="DH39" si="187">IF(DB39&lt;&gt;"",IF(DA38&lt;DA39,DB39,DB38),IF(DF39&lt;&gt;"",DF39,DD39))</f>
        <v>FC Oleksandriya</v>
      </c>
      <c r="DI39" s="209">
        <v>36</v>
      </c>
    </row>
    <row r="40" spans="1:113">
      <c r="A40" s="209">
        <f t="shared" si="135"/>
        <v>2</v>
      </c>
      <c r="B40" s="209" t="str">
        <f>'Team Setup'!B41</f>
        <v>AS Roma</v>
      </c>
      <c r="C40" s="210">
        <f>SUMPRODUCT(('Group Stages'!$I$10:$I$153&lt;&gt;"")*('Group Stages'!$K$10:$K$153&lt;&gt;"")*('Group Stages'!$G$10:$G$153='Dummy Table'!$B40)*('Group Stages'!$I$10:$I$153&gt;'Group Stages'!$K$10:$K$153))</f>
        <v>1</v>
      </c>
      <c r="D40" s="210">
        <f>SUMPRODUCT(('Group Stages'!$I$10:$I$153&lt;&gt;"")*('Group Stages'!$K$10:$K$153&lt;&gt;"")*('Group Stages'!$G$10:$G$153='Dummy Table'!$B40)*('Group Stages'!$I$10:$I$153='Group Stages'!$K$10:$K$153))</f>
        <v>1</v>
      </c>
      <c r="E40" s="210">
        <f>SUMPRODUCT(('Group Stages'!$I$10:$I$153&lt;&gt;"")*('Group Stages'!$K$10:$K$153&lt;&gt;"")*('Group Stages'!$G$10:$G$153='Dummy Table'!$B40)*('Group Stages'!$I$10:$I$153&lt;'Group Stages'!$K$10:$K$153))</f>
        <v>0</v>
      </c>
      <c r="F40" s="210">
        <f>SUMIF('Group Stages'!$G$10:$G$153,'Dummy Table'!$B40,'Group Stages'!$I$10:$I$153)</f>
        <v>0</v>
      </c>
      <c r="G40" s="210">
        <f>SUMIF('Group Stages'!$G$10:$G$153,'Dummy Table'!$B40,'Group Stages'!$K$10:$K$153)</f>
        <v>0</v>
      </c>
      <c r="H40" s="210">
        <f t="shared" si="136"/>
        <v>0</v>
      </c>
      <c r="I40" s="210">
        <f t="shared" si="137"/>
        <v>4</v>
      </c>
      <c r="J40" s="209">
        <f>SUMPRODUCT(('Group Stages'!$I$10:$I$153&lt;&gt;"")*('Group Stages'!$K$10:$K$153&lt;&gt;"")*('Group Stages'!$M$10:$M$153='Dummy Table'!$B40)*('Group Stages'!$I$10:$I$153&lt;'Group Stages'!$K$10:$K$153))</f>
        <v>0</v>
      </c>
      <c r="K40" s="209">
        <f>SUMPRODUCT(('Group Stages'!$I$10:$I$153&lt;&gt;"")*('Group Stages'!$K$10:$K$153&lt;&gt;"")*('Group Stages'!$M$10:$M$153='Dummy Table'!$B40)*('Group Stages'!$I$10:$I$153='Group Stages'!$K$10:$K$153))</f>
        <v>1</v>
      </c>
      <c r="L40" s="209">
        <f>SUMPRODUCT(('Group Stages'!$I$10:$I$153&lt;&gt;"")*('Group Stages'!$K$10:$K$153&lt;&gt;"")*('Group Stages'!$M$10:$M$153='Dummy Table'!$B40)*('Group Stages'!$I$10:$I$153&gt;'Group Stages'!$K$10:$K$153))</f>
        <v>1</v>
      </c>
      <c r="M40" s="209">
        <f>SUMIF('Group Stages'!$M$10:$M$153,'Dummy Table'!$B40,'Group Stages'!$K$10:$K$153)</f>
        <v>0</v>
      </c>
      <c r="N40" s="209">
        <f>SUMIF('Group Stages'!$M$10:$M$153,'Dummy Table'!$B40,'Group Stages'!$I$10:$I$153)</f>
        <v>0</v>
      </c>
      <c r="O40" s="209">
        <f t="shared" si="138"/>
        <v>0</v>
      </c>
      <c r="P40" s="209">
        <f t="shared" si="139"/>
        <v>1</v>
      </c>
      <c r="Q40" s="209">
        <f t="shared" si="140"/>
        <v>1</v>
      </c>
      <c r="R40" s="209">
        <f t="shared" si="141"/>
        <v>2</v>
      </c>
      <c r="S40" s="209">
        <f t="shared" si="142"/>
        <v>1</v>
      </c>
      <c r="T40" s="209">
        <f t="shared" si="143"/>
        <v>0</v>
      </c>
      <c r="U40" s="209">
        <f t="shared" si="144"/>
        <v>0</v>
      </c>
      <c r="V40" s="209">
        <f t="shared" si="145"/>
        <v>0</v>
      </c>
      <c r="W40" s="209">
        <f t="shared" si="146"/>
        <v>5</v>
      </c>
      <c r="X40" s="210">
        <f>IF('Team Setup'!F41&lt;&gt;"",'Team Setup'!F41,DI40)</f>
        <v>73000</v>
      </c>
      <c r="Y40" s="210">
        <f>RANK(W40,W$40:W$43)</f>
        <v>2</v>
      </c>
      <c r="Z40" s="210">
        <f>SUMPRODUCT((W$40:W$43=W40)*(V$40:V$43&gt;V40))</f>
        <v>0</v>
      </c>
      <c r="AA40" s="210">
        <f>SUMPRODUCT((Y$40:Y$43=Y40)*(Z$40:Z$43=Z40)*(T$40:T$43&gt;T40))</f>
        <v>0</v>
      </c>
      <c r="AB40" s="210">
        <f>SUMPRODUCT((Y$40:Y$43=Y40)*(Z$40:Z$43=Z40)*(T$40:T$43=T40)*(X$40:X$43&gt;X40))</f>
        <v>0</v>
      </c>
      <c r="AC40" s="209">
        <v>1</v>
      </c>
      <c r="AD40" s="209" t="str">
        <f>VLOOKUP(AC40,$A$40:$B$43,2,FALSE)</f>
        <v>İstanbul Başakşehir F.K.</v>
      </c>
      <c r="AE40" s="209">
        <f>VLOOKUP($AD40,$B$40:$W$43,22,FALSE)</f>
        <v>7</v>
      </c>
      <c r="AF40" s="209" t="str">
        <f t="shared" ref="AF40" si="188">IF(AE40=AE41,AD40,"")</f>
        <v/>
      </c>
      <c r="AG40" s="210">
        <f>SUMPRODUCT(($BK$4:$BK$147='Dummy Table'!$AF40)*($BL$4:$BL$147&gt;$BM$4:$BM$147))</f>
        <v>0</v>
      </c>
      <c r="AH40" s="210">
        <f>SUMPRODUCT(($BK$4:$BK$147='Dummy Table'!$AF40)*($BL$4:$BL$147=$BM$4:$BM$147))</f>
        <v>134</v>
      </c>
      <c r="AI40" s="210">
        <f>SUMPRODUCT(($BK$4:$BK$147='Dummy Table'!$AF40)*($BL$4:$BL$147&lt;$BM$4:$BM$147))</f>
        <v>0</v>
      </c>
      <c r="AJ40" s="210">
        <f>SUMIF($BK$4:$BK$147,'Dummy Table'!$AF40,$BL$4:$BL$147)</f>
        <v>0</v>
      </c>
      <c r="AK40" s="210">
        <f>SUMIF($BK$4:$BK$147,'Dummy Table'!$AF40,$BM$4:$BM$147)</f>
        <v>0</v>
      </c>
      <c r="AL40" s="210">
        <f t="shared" si="148"/>
        <v>0</v>
      </c>
      <c r="AM40" s="210" t="str">
        <f t="shared" si="149"/>
        <v/>
      </c>
      <c r="AN40" s="210">
        <f>SUMPRODUCT(($BN$4:$BN$147='Dummy Table'!$AF40)*($BL$4:$BL$147&lt;$BM$4:$BM$147))</f>
        <v>0</v>
      </c>
      <c r="AO40" s="210">
        <f>SUMPRODUCT(($BN$4:$BN$147='Dummy Table'!$AF40)*($BL$4:$BL$147=$BM$4:$BM$147))</f>
        <v>134</v>
      </c>
      <c r="AP40" s="210">
        <f>SUMPRODUCT(($BN$4:$BN$147='Dummy Table'!$AF40)*($BL$4:$BL$147&gt;$BM$4:$BM$147))</f>
        <v>0</v>
      </c>
      <c r="AQ40" s="210">
        <f>SUMIF($BN$4:$BN$147,'Dummy Table'!$AF40,$BM$4:$BM$147)</f>
        <v>0</v>
      </c>
      <c r="AR40" s="210">
        <f>SUMIF($BN$4:$BN$147,'Dummy Table'!$AF40,$BL$4:$BL$147)</f>
        <v>0</v>
      </c>
      <c r="AS40" s="210">
        <f t="shared" si="150"/>
        <v>0</v>
      </c>
      <c r="AT40" s="210" t="str">
        <f t="shared" si="151"/>
        <v/>
      </c>
      <c r="AU40" s="210">
        <f t="shared" si="152"/>
        <v>0</v>
      </c>
      <c r="AV40" s="210">
        <f t="shared" si="153"/>
        <v>268</v>
      </c>
      <c r="AW40" s="210">
        <f t="shared" si="154"/>
        <v>0</v>
      </c>
      <c r="AX40" s="210">
        <f t="shared" si="155"/>
        <v>0</v>
      </c>
      <c r="AY40" s="210">
        <f t="shared" si="156"/>
        <v>0</v>
      </c>
      <c r="AZ40" s="210">
        <f t="shared" si="157"/>
        <v>0</v>
      </c>
      <c r="BA40" s="210">
        <f t="shared" si="158"/>
        <v>-1</v>
      </c>
      <c r="BB40" s="209" t="str">
        <f t="shared" si="2"/>
        <v/>
      </c>
      <c r="BC40" s="209" t="str">
        <f t="shared" si="3"/>
        <v/>
      </c>
      <c r="BD40" s="209" t="str">
        <f t="shared" si="4"/>
        <v/>
      </c>
      <c r="BE40" s="209">
        <f>RANK(BA40,BA$40:BA$43)</f>
        <v>3</v>
      </c>
      <c r="BF40" s="209">
        <f>SUMPRODUCT((BA$40:BA$43=BA40)*(AZ$40:AZ$43&gt;AZ40))</f>
        <v>0</v>
      </c>
      <c r="BG40" s="209">
        <f>SUMPRODUCT((BA$40:BA$43=BA40)*(BE$40:BE$43=BE40)*(AZ$40:AZ$43=AZ40)*(AQ$40:AQ$43&gt;AQ40))</f>
        <v>0</v>
      </c>
      <c r="BH40" s="209">
        <f>SUMPRODUCT((BA$40:BA$43=BA40)*(BE$40:BE$43=BE40)*(AZ$40:AZ$43=AZ40)*(AQ$40:AQ$43=AQ40)*(BB$40:BB$43&gt;BB40))</f>
        <v>0</v>
      </c>
      <c r="BI40" s="209">
        <f>SUMPRODUCT((BA$40:BA$43=BA40)*(BE$40:BE$43=BE40)*(AZ$40:AZ$43=AZ40)*(AQ$40:AQ$43=AQ40)*(BB$40:BB$43=BB40)*(BC$40:BC$43&gt;BC40))</f>
        <v>0</v>
      </c>
      <c r="BJ40" s="209">
        <f>SUMPRODUCT((BA$40:BA$43=BA40)*(BE$40:BE$43=BE40)*(AZ$40:AZ$43=AZ40)*(AQ$40:AQ$43=AQ40)*(BB$40:BB$43=BB40)*(BC$40:BC$43=BC40)*(BD$40:BD$43&gt;BD40))</f>
        <v>0</v>
      </c>
      <c r="BK40" s="209" t="str">
        <f>IF(AND(COUNTIF($AF$4:$AF$35,'Group Stages'!G46)&gt;0,COUNTIF($AF$4:$AF$35,'Group Stages'!M46)&gt;0,'Group Stages'!I46&lt;&gt;"",'Group Stages'!K46&lt;&gt;""),'Group Stages'!G46,"")</f>
        <v>BSC Young Boys</v>
      </c>
      <c r="BL40" s="209" t="str">
        <f>IF($BK40&lt;&gt;"",'Group Stages'!I46,"")</f>
        <v>2</v>
      </c>
      <c r="BM40" s="209" t="str">
        <f>IF($BK40&lt;&gt;"",'Group Stages'!K46,"")</f>
        <v>1</v>
      </c>
      <c r="BN40" s="209" t="str">
        <f>IF($BK40&lt;&gt;"",'Group Stages'!M46,"")</f>
        <v>Rangers FC</v>
      </c>
      <c r="BO40" s="209" t="str">
        <f t="shared" si="159"/>
        <v/>
      </c>
      <c r="BP40" s="209" t="str">
        <f t="shared" si="160"/>
        <v/>
      </c>
      <c r="BQ40" s="209">
        <f>VLOOKUP($AD40,$B$40:$W$43,22,FALSE)</f>
        <v>7</v>
      </c>
      <c r="BS40" s="217">
        <f>SUMPRODUCT(($CW$4:$CW$147='Dummy Table'!$BR40)*($CX$4:$CX$147&gt;$CY$4:$CY$147))</f>
        <v>0</v>
      </c>
      <c r="BT40" s="217">
        <f>SUMPRODUCT(($CW$4:$CW$147='Dummy Table'!$BR40)*($CX$4:$CX$147=$CY$4:$CY$147))</f>
        <v>142</v>
      </c>
      <c r="BU40" s="217">
        <f>SUMPRODUCT(($CW$4:$CW$147='Dummy Table'!$BR40)*($CX$4:$CX$147&lt;$CY$4:$CY$147))</f>
        <v>0</v>
      </c>
      <c r="BV40" s="217">
        <f>SUMIF($CW$4:$CW$147,'Dummy Table'!$BR40,$CX$4:$CX$147)</f>
        <v>0</v>
      </c>
      <c r="BW40" s="217">
        <f>SUMIF($CW$4:$CW$147,'Dummy Table'!$BR40,$CY$4:$CY$147)</f>
        <v>0</v>
      </c>
      <c r="BX40" s="217">
        <f t="shared" si="161"/>
        <v>0</v>
      </c>
      <c r="BY40" s="217" t="str">
        <f t="shared" si="162"/>
        <v/>
      </c>
      <c r="BZ40" s="217">
        <f>SUMPRODUCT(($CZ$4:$CZ$147='Dummy Table'!$BR40)*($CX$4:$CX$147&lt;$CY$4:$CY$147))</f>
        <v>0</v>
      </c>
      <c r="CA40" s="217">
        <f>SUMPRODUCT(($CZ$4:$CZ$147='Dummy Table'!$BR40)*($CX$4:$CX$147=$CY$4:$CY$147))</f>
        <v>142</v>
      </c>
      <c r="CB40" s="217">
        <f>SUMPRODUCT(($CZ$4:$CZ$147='Dummy Table'!$BR40)*($CX$4:$CX$147&gt;$CY$4:$CY$147))</f>
        <v>0</v>
      </c>
      <c r="CC40" s="217">
        <f>SUMIF($CZ$4:$CZ$147,'Dummy Table'!$BR40,$CY$4:$CY$147)</f>
        <v>0</v>
      </c>
      <c r="CD40" s="217">
        <f>SUMIF($CZ$4:$CZ$147,'Dummy Table'!$BR40,$CX$4:$CX$147)</f>
        <v>0</v>
      </c>
      <c r="CE40" s="217">
        <f t="shared" si="163"/>
        <v>0</v>
      </c>
      <c r="CF40" s="217" t="str">
        <f t="shared" si="164"/>
        <v/>
      </c>
      <c r="CG40" s="217">
        <f t="shared" si="165"/>
        <v>0</v>
      </c>
      <c r="CH40" s="217">
        <f t="shared" si="166"/>
        <v>284</v>
      </c>
      <c r="CI40" s="217">
        <f t="shared" si="167"/>
        <v>0</v>
      </c>
      <c r="CJ40" s="217">
        <f t="shared" si="168"/>
        <v>0</v>
      </c>
      <c r="CK40" s="217">
        <f t="shared" si="169"/>
        <v>0</v>
      </c>
      <c r="CL40" s="217">
        <f t="shared" si="170"/>
        <v>0</v>
      </c>
      <c r="CM40" s="217">
        <f t="shared" si="171"/>
        <v>-1</v>
      </c>
      <c r="CN40" s="210">
        <f t="shared" si="172"/>
        <v>73000</v>
      </c>
      <c r="CO40" s="210">
        <f>SUMIF($CZ$4:$CZ$147,'Dummy Table'!$BR40,$CY$4:$CY$147)*2</f>
        <v>0</v>
      </c>
      <c r="CP40" s="210">
        <f>RANK(CM40,CM$40:CM$43)</f>
        <v>1</v>
      </c>
      <c r="CR40" s="210">
        <f>SUMPRODUCT((CM$40:CM$43=CM40)*(CL$40:CL$43&gt;CL40))</f>
        <v>0</v>
      </c>
      <c r="CS40" s="210">
        <f>SUMPRODUCT((CP$40:CP$43=CP40)*(CR$40:CR$43=CR40)*(CO$40:CO$43&gt;CO40))</f>
        <v>0</v>
      </c>
      <c r="CT40" s="210">
        <f>IF(BR40&lt;&gt;"",SUMPRODUCT((CP$40:CP$43=CP40)*(CR$40:CR$43=CR40)*(CS$40:CS$43=CS40)*(V$40:V$43&gt;V40)),0)</f>
        <v>0</v>
      </c>
      <c r="CU40" s="210">
        <f>IF($BR40&lt;&gt;"",SUMPRODUCT((CP$40:CP$43=CP40)*(CR$40:CR$43=CR40)*(CS$40:CS$43=CS40)*(CT$40:CT$43=CT40)*(T$40:T$43&gt;T40)),0)</f>
        <v>0</v>
      </c>
      <c r="CV40" s="210">
        <f>SUMPRODUCT((CP$40:CP$43=CP40)*(CR$40:CR$43=CR40)*(CS$40:CS$43=CS40)*(CT$40:CT$43=CT40)*(CU$40:CU$43=CU40)*(CN$40:CN$43&gt;CN40))</f>
        <v>0</v>
      </c>
      <c r="CW40" s="209" t="str">
        <f>IF(AND(COUNTIF($BR$4:$BR$35,'Group Stages'!$G46)&gt;0,COUNTIF($BR$4:$BR$35,'Group Stages'!$M46)&gt;0),'Group Stages'!$G46,"")</f>
        <v/>
      </c>
      <c r="CX40" s="209" t="str">
        <f>IF($CW40&lt;&gt;"",'Group Stages'!$I46,"")</f>
        <v/>
      </c>
      <c r="CY40" s="209" t="str">
        <f>IF($CW40&lt;&gt;"",'Group Stages'!$K46,"")</f>
        <v/>
      </c>
      <c r="CZ40" s="209" t="str">
        <f>IF($CW40&lt;&gt;"",'Group Stages'!$M46,"")</f>
        <v/>
      </c>
      <c r="DA40" s="210" t="str">
        <f t="shared" si="173"/>
        <v/>
      </c>
      <c r="DB40" s="209" t="str">
        <f t="shared" si="174"/>
        <v/>
      </c>
      <c r="DC40" s="209">
        <v>1</v>
      </c>
      <c r="DD40" s="209" t="str">
        <f t="shared" si="175"/>
        <v>İstanbul Başakşehir F.K.</v>
      </c>
      <c r="DE40" s="209" t="str">
        <f t="shared" ref="DE40" si="189">IF(DD40="",DC40,"")</f>
        <v/>
      </c>
      <c r="DF40" s="209" t="str">
        <f>VLOOKUP(DE40,$BO$40:$BP$43,2,FALSE)</f>
        <v/>
      </c>
      <c r="DG40" s="209">
        <v>1</v>
      </c>
      <c r="DH40" s="209" t="str">
        <f t="shared" ref="DH40:DH41" si="190">IF(DD40="",DF40,DD40)</f>
        <v>İstanbul Başakşehir F.K.</v>
      </c>
      <c r="DI40" s="209">
        <v>37</v>
      </c>
    </row>
    <row r="41" spans="1:113">
      <c r="A41" s="209">
        <f t="shared" si="135"/>
        <v>3</v>
      </c>
      <c r="B41" s="209" t="str">
        <f>'Team Setup'!B42</f>
        <v>Bor. Mönchengladbach</v>
      </c>
      <c r="C41" s="210">
        <f>SUMPRODUCT(('Group Stages'!$I$10:$I$153&lt;&gt;"")*('Group Stages'!$K$10:$K$153&lt;&gt;"")*('Group Stages'!$G$10:$G$153='Dummy Table'!$B41)*('Group Stages'!$I$10:$I$153&gt;'Group Stages'!$K$10:$K$153))</f>
        <v>1</v>
      </c>
      <c r="D41" s="210">
        <f>SUMPRODUCT(('Group Stages'!$I$10:$I$153&lt;&gt;"")*('Group Stages'!$K$10:$K$153&lt;&gt;"")*('Group Stages'!$G$10:$G$153='Dummy Table'!$B41)*('Group Stages'!$I$10:$I$153='Group Stages'!$K$10:$K$153))</f>
        <v>0</v>
      </c>
      <c r="E41" s="210">
        <f>SUMPRODUCT(('Group Stages'!$I$10:$I$153&lt;&gt;"")*('Group Stages'!$K$10:$K$153&lt;&gt;"")*('Group Stages'!$G$10:$G$153='Dummy Table'!$B41)*('Group Stages'!$I$10:$I$153&lt;'Group Stages'!$K$10:$K$153))</f>
        <v>1</v>
      </c>
      <c r="F41" s="210">
        <f>SUMIF('Group Stages'!$G$10:$G$153,'Dummy Table'!$B41,'Group Stages'!$I$10:$I$153)</f>
        <v>0</v>
      </c>
      <c r="G41" s="210">
        <f>SUMIF('Group Stages'!$G$10:$G$153,'Dummy Table'!$B41,'Group Stages'!$K$10:$K$153)</f>
        <v>0</v>
      </c>
      <c r="H41" s="210">
        <f t="shared" si="136"/>
        <v>0</v>
      </c>
      <c r="I41" s="210">
        <f t="shared" si="137"/>
        <v>3</v>
      </c>
      <c r="J41" s="209">
        <f>SUMPRODUCT(('Group Stages'!$I$10:$I$153&lt;&gt;"")*('Group Stages'!$K$10:$K$153&lt;&gt;"")*('Group Stages'!$M$10:$M$153='Dummy Table'!$B41)*('Group Stages'!$I$10:$I$153&lt;'Group Stages'!$K$10:$K$153))</f>
        <v>0</v>
      </c>
      <c r="K41" s="209">
        <f>SUMPRODUCT(('Group Stages'!$I$10:$I$153&lt;&gt;"")*('Group Stages'!$K$10:$K$153&lt;&gt;"")*('Group Stages'!$M$10:$M$153='Dummy Table'!$B41)*('Group Stages'!$I$10:$I$153='Group Stages'!$K$10:$K$153))</f>
        <v>2</v>
      </c>
      <c r="L41" s="209">
        <f>SUMPRODUCT(('Group Stages'!$I$10:$I$153&lt;&gt;"")*('Group Stages'!$K$10:$K$153&lt;&gt;"")*('Group Stages'!$M$10:$M$153='Dummy Table'!$B41)*('Group Stages'!$I$10:$I$153&gt;'Group Stages'!$K$10:$K$153))</f>
        <v>0</v>
      </c>
      <c r="M41" s="209">
        <f>SUMIF('Group Stages'!$M$10:$M$153,'Dummy Table'!$B41,'Group Stages'!$K$10:$K$153)</f>
        <v>0</v>
      </c>
      <c r="N41" s="209">
        <f>SUMIF('Group Stages'!$M$10:$M$153,'Dummy Table'!$B41,'Group Stages'!$I$10:$I$153)</f>
        <v>0</v>
      </c>
      <c r="O41" s="209">
        <f t="shared" si="138"/>
        <v>0</v>
      </c>
      <c r="P41" s="209">
        <f t="shared" si="139"/>
        <v>2</v>
      </c>
      <c r="Q41" s="209">
        <f t="shared" si="140"/>
        <v>1</v>
      </c>
      <c r="R41" s="209">
        <f t="shared" si="141"/>
        <v>2</v>
      </c>
      <c r="S41" s="209">
        <f t="shared" si="142"/>
        <v>1</v>
      </c>
      <c r="T41" s="209">
        <f t="shared" si="143"/>
        <v>0</v>
      </c>
      <c r="U41" s="209">
        <f t="shared" si="144"/>
        <v>0</v>
      </c>
      <c r="V41" s="209">
        <f t="shared" si="145"/>
        <v>0</v>
      </c>
      <c r="W41" s="209">
        <f t="shared" si="146"/>
        <v>5</v>
      </c>
      <c r="X41" s="210">
        <f>IF('Team Setup'!F42&lt;&gt;"",'Team Setup'!F42,DI41)</f>
        <v>24000</v>
      </c>
      <c r="Y41" s="210">
        <f>RANK(W41,W$40:W$43)</f>
        <v>2</v>
      </c>
      <c r="Z41" s="210">
        <f>SUMPRODUCT((W$40:W$43=W41)*(V$40:V$43&gt;V41))</f>
        <v>0</v>
      </c>
      <c r="AA41" s="210">
        <f>SUMPRODUCT((Y$40:Y$43=Y41)*(Z$40:Z$43=Z41)*(T$40:T$43&gt;T41))</f>
        <v>0</v>
      </c>
      <c r="AB41" s="210">
        <f>SUMPRODUCT((Y$40:Y$43=Y41)*(Z$40:Z$43=Z41)*(T$40:T$43=T41)*(X$40:X$43&gt;X41))</f>
        <v>1</v>
      </c>
      <c r="AC41" s="209">
        <v>2</v>
      </c>
      <c r="AD41" s="209" t="str">
        <f>VLOOKUP(AC41,$A$40:$B$43,2,FALSE)</f>
        <v>AS Roma</v>
      </c>
      <c r="AE41" s="209">
        <f>VLOOKUP($AD41,$B$40:$W$43,22,FALSE)</f>
        <v>5</v>
      </c>
      <c r="AF41" s="209" t="str">
        <f t="shared" ref="AF41" si="191">IF(OR(AE41=AE40,AE41=AE42),AD41,"")</f>
        <v>AS Roma</v>
      </c>
      <c r="AG41" s="210">
        <f>SUMPRODUCT(($BK$4:$BK$147='Dummy Table'!$AF41)*($BL$4:$BL$147&gt;$BM$4:$BM$147))</f>
        <v>0</v>
      </c>
      <c r="AH41" s="210">
        <f>SUMPRODUCT(($BK$4:$BK$147='Dummy Table'!$AF41)*($BL$4:$BL$147=$BM$4:$BM$147))</f>
        <v>0</v>
      </c>
      <c r="AI41" s="210">
        <f>SUMPRODUCT(($BK$4:$BK$147='Dummy Table'!$AF41)*($BL$4:$BL$147&lt;$BM$4:$BM$147))</f>
        <v>0</v>
      </c>
      <c r="AJ41" s="210">
        <f>SUMIF($BK$4:$BK$147,'Dummy Table'!$AF41,$BL$4:$BL$147)</f>
        <v>0</v>
      </c>
      <c r="AK41" s="210">
        <f>SUMIF($BK$4:$BK$147,'Dummy Table'!$AF41,$BM$4:$BM$147)</f>
        <v>0</v>
      </c>
      <c r="AL41" s="210">
        <f t="shared" si="148"/>
        <v>0</v>
      </c>
      <c r="AM41" s="210">
        <f t="shared" si="149"/>
        <v>0</v>
      </c>
      <c r="AN41" s="210">
        <f>SUMPRODUCT(($BN$4:$BN$147='Dummy Table'!$AF41)*($BL$4:$BL$147&lt;$BM$4:$BM$147))</f>
        <v>0</v>
      </c>
      <c r="AO41" s="210">
        <f>SUMPRODUCT(($BN$4:$BN$147='Dummy Table'!$AF41)*($BL$4:$BL$147=$BM$4:$BM$147))</f>
        <v>0</v>
      </c>
      <c r="AP41" s="210">
        <f>SUMPRODUCT(($BN$4:$BN$147='Dummy Table'!$AF41)*($BL$4:$BL$147&gt;$BM$4:$BM$147))</f>
        <v>0</v>
      </c>
      <c r="AQ41" s="210">
        <f>SUMIF($BN$4:$BN$147,'Dummy Table'!$AF41,$BM$4:$BM$147)</f>
        <v>0</v>
      </c>
      <c r="AR41" s="210">
        <f>SUMIF($BN$4:$BN$147,'Dummy Table'!$AF41,$BL$4:$BL$147)</f>
        <v>0</v>
      </c>
      <c r="AS41" s="210">
        <f t="shared" si="150"/>
        <v>0</v>
      </c>
      <c r="AT41" s="210">
        <f t="shared" si="151"/>
        <v>0</v>
      </c>
      <c r="AU41" s="210">
        <f t="shared" si="152"/>
        <v>0</v>
      </c>
      <c r="AV41" s="210">
        <f t="shared" si="153"/>
        <v>0</v>
      </c>
      <c r="AW41" s="210">
        <f t="shared" si="154"/>
        <v>0</v>
      </c>
      <c r="AX41" s="210">
        <f t="shared" si="155"/>
        <v>0</v>
      </c>
      <c r="AY41" s="210">
        <f t="shared" si="156"/>
        <v>0</v>
      </c>
      <c r="AZ41" s="210">
        <f t="shared" si="157"/>
        <v>0</v>
      </c>
      <c r="BA41" s="210">
        <f t="shared" si="158"/>
        <v>0</v>
      </c>
      <c r="BB41" s="209">
        <f t="shared" si="2"/>
        <v>0</v>
      </c>
      <c r="BC41" s="209">
        <f t="shared" si="3"/>
        <v>0</v>
      </c>
      <c r="BD41" s="209">
        <f t="shared" si="4"/>
        <v>73000</v>
      </c>
      <c r="BE41" s="209">
        <f>RANK(BA41,BA$40:BA$43)</f>
        <v>1</v>
      </c>
      <c r="BF41" s="209">
        <f>SUMPRODUCT((BA$40:BA$43=BA41)*(AZ$40:AZ$43&gt;AZ41))</f>
        <v>0</v>
      </c>
      <c r="BG41" s="209">
        <f>SUMPRODUCT((BA$40:BA$43=BA41)*(BE$40:BE$43=BE41)*(AZ$40:AZ$43=AZ41)*(AQ$40:AQ$43&gt;AQ41))</f>
        <v>0</v>
      </c>
      <c r="BH41" s="209">
        <f>SUMPRODUCT((BA$40:BA$43=BA41)*(BE$40:BE$43=BE41)*(AZ$40:AZ$43=AZ41)*(AQ$40:AQ$43=AQ41)*(BB$40:BB$43&gt;BB41))</f>
        <v>0</v>
      </c>
      <c r="BI41" s="209">
        <f>SUMPRODUCT((BA$40:BA$43=BA41)*(BE$40:BE$43=BE41)*(AZ$40:AZ$43=AZ41)*(AQ$40:AQ$43=AQ41)*(BB$40:BB$43=BB41)*(BC$40:BC$43&gt;BC41))</f>
        <v>0</v>
      </c>
      <c r="BJ41" s="209">
        <f>SUMPRODUCT((BA$40:BA$43=BA41)*(BE$40:BE$43=BE41)*(AZ$40:AZ$43=AZ41)*(AQ$40:AQ$43=AQ41)*(BB$40:BB$43=BB41)*(BC$40:BC$43=BC41)*(BD$40:BD$43&gt;BD41))</f>
        <v>0</v>
      </c>
      <c r="BK41" s="209" t="str">
        <f>IF(AND(COUNTIF($AF$4:$AF$35,'Group Stages'!G47)&gt;0,COUNTIF($AF$4:$AF$35,'Group Stages'!M47)&gt;0,'Group Stages'!I47&lt;&gt;"",'Group Stages'!K47&lt;&gt;""),'Group Stages'!G47,"")</f>
        <v/>
      </c>
      <c r="BL41" s="209" t="str">
        <f>IF($BK41&lt;&gt;"",'Group Stages'!I47,"")</f>
        <v/>
      </c>
      <c r="BM41" s="209" t="str">
        <f>IF($BK41&lt;&gt;"",'Group Stages'!K47,"")</f>
        <v/>
      </c>
      <c r="BN41" s="209" t="str">
        <f>IF($BK41&lt;&gt;"",'Group Stages'!M47,"")</f>
        <v/>
      </c>
      <c r="BO41" s="209">
        <f t="shared" si="159"/>
        <v>1</v>
      </c>
      <c r="BP41" s="209" t="str">
        <f t="shared" si="160"/>
        <v>AS Roma</v>
      </c>
      <c r="BQ41" s="209">
        <f>VLOOKUP($AD41,$B$40:$W$43,22,FALSE)</f>
        <v>5</v>
      </c>
      <c r="BS41" s="217">
        <f>SUMPRODUCT(($CW$4:$CW$147='Dummy Table'!$BR41)*($CX$4:$CX$147&gt;$CY$4:$CY$147))</f>
        <v>0</v>
      </c>
      <c r="BT41" s="217">
        <f>SUMPRODUCT(($CW$4:$CW$147='Dummy Table'!$BR41)*($CX$4:$CX$147=$CY$4:$CY$147))</f>
        <v>142</v>
      </c>
      <c r="BU41" s="217">
        <f>SUMPRODUCT(($CW$4:$CW$147='Dummy Table'!$BR41)*($CX$4:$CX$147&lt;$CY$4:$CY$147))</f>
        <v>0</v>
      </c>
      <c r="BV41" s="217">
        <f>SUMIF($CW$4:$CW$147,'Dummy Table'!$BR41,$CX$4:$CX$147)</f>
        <v>0</v>
      </c>
      <c r="BW41" s="217">
        <f>SUMIF($CW$4:$CW$147,'Dummy Table'!$BR41,$CY$4:$CY$147)</f>
        <v>0</v>
      </c>
      <c r="BX41" s="217">
        <f t="shared" si="161"/>
        <v>0</v>
      </c>
      <c r="BY41" s="217" t="str">
        <f t="shared" si="162"/>
        <v/>
      </c>
      <c r="BZ41" s="217">
        <f>SUMPRODUCT(($CZ$4:$CZ$147='Dummy Table'!$BR41)*($CX$4:$CX$147&lt;$CY$4:$CY$147))</f>
        <v>0</v>
      </c>
      <c r="CA41" s="217">
        <f>SUMPRODUCT(($CZ$4:$CZ$147='Dummy Table'!$BR41)*($CX$4:$CX$147=$CY$4:$CY$147))</f>
        <v>142</v>
      </c>
      <c r="CB41" s="217">
        <f>SUMPRODUCT(($CZ$4:$CZ$147='Dummy Table'!$BR41)*($CX$4:$CX$147&gt;$CY$4:$CY$147))</f>
        <v>0</v>
      </c>
      <c r="CC41" s="217">
        <f>SUMIF($CZ$4:$CZ$147,'Dummy Table'!$BR41,$CY$4:$CY$147)</f>
        <v>0</v>
      </c>
      <c r="CD41" s="217">
        <f>SUMIF($CZ$4:$CZ$147,'Dummy Table'!$BR41,$CX$4:$CX$147)</f>
        <v>0</v>
      </c>
      <c r="CE41" s="217">
        <f t="shared" si="163"/>
        <v>0</v>
      </c>
      <c r="CF41" s="217" t="str">
        <f t="shared" si="164"/>
        <v/>
      </c>
      <c r="CG41" s="217">
        <f t="shared" si="165"/>
        <v>0</v>
      </c>
      <c r="CH41" s="217">
        <f t="shared" si="166"/>
        <v>284</v>
      </c>
      <c r="CI41" s="217">
        <f t="shared" si="167"/>
        <v>0</v>
      </c>
      <c r="CJ41" s="217">
        <f t="shared" si="168"/>
        <v>0</v>
      </c>
      <c r="CK41" s="217">
        <f t="shared" si="169"/>
        <v>0</v>
      </c>
      <c r="CL41" s="217">
        <f t="shared" si="170"/>
        <v>0</v>
      </c>
      <c r="CM41" s="217">
        <f t="shared" si="171"/>
        <v>-1</v>
      </c>
      <c r="CN41" s="210">
        <f t="shared" si="172"/>
        <v>24000</v>
      </c>
      <c r="CO41" s="210">
        <f>SUMIF($CZ$4:$CZ$147,'Dummy Table'!$BR41,$CY$4:$CY$147)*2</f>
        <v>0</v>
      </c>
      <c r="CP41" s="210">
        <f>RANK(CM41,CM$40:CM$43)</f>
        <v>1</v>
      </c>
      <c r="CR41" s="210">
        <f>SUMPRODUCT((CM$40:CM$43=CM41)*(CL$40:CL$43&gt;CL41))</f>
        <v>0</v>
      </c>
      <c r="CS41" s="210">
        <f>SUMPRODUCT((CP$40:CP$43=CP41)*(CR$40:CR$43=CR41)*(CO$40:CO$43&gt;CO41))</f>
        <v>0</v>
      </c>
      <c r="CT41" s="210">
        <f>IF(BR41&lt;&gt;"",SUMPRODUCT((CP$40:CP$43=CP41)*(CR$40:CR$43=CR41)*(CS$40:CS$43=CS41)*(V$40:V$43&gt;V41)),0)</f>
        <v>0</v>
      </c>
      <c r="CU41" s="210">
        <f>IF($BR41&lt;&gt;"",SUMPRODUCT((CP$40:CP$43=CP41)*(CR$40:CR$43=CR41)*(CS$40:CS$43=CS41)*(CT$40:CT$43=CT41)*(T$40:T$43&gt;T41)),0)</f>
        <v>0</v>
      </c>
      <c r="CV41" s="210">
        <f>SUMPRODUCT((CP$40:CP$43=CP41)*(CR$40:CR$43=CR41)*(CS$40:CS$43=CS41)*(CT$40:CT$43=CT41)*(CU$40:CU$43=CU41)*(CN$40:CN$43&gt;CN41))</f>
        <v>1</v>
      </c>
      <c r="CW41" s="209" t="str">
        <f>IF(AND(COUNTIF($BR$4:$BR$35,'Group Stages'!$G47)&gt;0,COUNTIF($BR$4:$BR$35,'Group Stages'!$M47)&gt;0),'Group Stages'!$G47,"")</f>
        <v>Feyenoord</v>
      </c>
      <c r="CX41" s="209" t="str">
        <f>IF($CW41&lt;&gt;"",'Group Stages'!$I47,"")</f>
        <v>2</v>
      </c>
      <c r="CY41" s="209" t="str">
        <f>IF($CW41&lt;&gt;"",'Group Stages'!$K47,"")</f>
        <v>0</v>
      </c>
      <c r="CZ41" s="209" t="str">
        <f>IF($CW41&lt;&gt;"",'Group Stages'!$M47,"")</f>
        <v>FC Porto</v>
      </c>
      <c r="DA41" s="210" t="str">
        <f t="shared" si="173"/>
        <v/>
      </c>
      <c r="DB41" s="209" t="str">
        <f t="shared" si="174"/>
        <v/>
      </c>
      <c r="DC41" s="209">
        <v>2</v>
      </c>
      <c r="DD41" s="209" t="str">
        <f t="shared" si="175"/>
        <v/>
      </c>
      <c r="DE41" s="209">
        <f t="shared" ref="DE41" si="192">IF(AND(DD41="",DD40=""),DC41,IF(AND(DD40&lt;&gt;"",DD41=""),1,""))</f>
        <v>1</v>
      </c>
      <c r="DF41" s="209" t="str">
        <f>VLOOKUP(DE41,$BO$40:$BP$43,2,FALSE)</f>
        <v>AS Roma</v>
      </c>
      <c r="DG41" s="209">
        <v>2</v>
      </c>
      <c r="DH41" s="209" t="str">
        <f t="shared" si="190"/>
        <v>AS Roma</v>
      </c>
      <c r="DI41" s="209">
        <v>38</v>
      </c>
    </row>
    <row r="42" spans="1:113">
      <c r="A42" s="209">
        <f t="shared" si="135"/>
        <v>4</v>
      </c>
      <c r="B42" s="209" t="str">
        <f>'Team Setup'!B43</f>
        <v>Wolfsberger AC</v>
      </c>
      <c r="C42" s="210">
        <f>SUMPRODUCT(('Group Stages'!$I$10:$I$153&lt;&gt;"")*('Group Stages'!$K$10:$K$153&lt;&gt;"")*('Group Stages'!$G$10:$G$153='Dummy Table'!$B42)*('Group Stages'!$I$10:$I$153&gt;'Group Stages'!$K$10:$K$153))</f>
        <v>0</v>
      </c>
      <c r="D42" s="210">
        <f>SUMPRODUCT(('Group Stages'!$I$10:$I$153&lt;&gt;"")*('Group Stages'!$K$10:$K$153&lt;&gt;"")*('Group Stages'!$G$10:$G$153='Dummy Table'!$B42)*('Group Stages'!$I$10:$I$153='Group Stages'!$K$10:$K$153))</f>
        <v>1</v>
      </c>
      <c r="E42" s="210">
        <f>SUMPRODUCT(('Group Stages'!$I$10:$I$153&lt;&gt;"")*('Group Stages'!$K$10:$K$153&lt;&gt;"")*('Group Stages'!$G$10:$G$153='Dummy Table'!$B42)*('Group Stages'!$I$10:$I$153&lt;'Group Stages'!$K$10:$K$153))</f>
        <v>1</v>
      </c>
      <c r="F42" s="210">
        <f>SUMIF('Group Stages'!$G$10:$G$153,'Dummy Table'!$B42,'Group Stages'!$I$10:$I$153)</f>
        <v>0</v>
      </c>
      <c r="G42" s="210">
        <f>SUMIF('Group Stages'!$G$10:$G$153,'Dummy Table'!$B42,'Group Stages'!$K$10:$K$153)</f>
        <v>0</v>
      </c>
      <c r="H42" s="210">
        <f t="shared" si="136"/>
        <v>0</v>
      </c>
      <c r="I42" s="210">
        <f t="shared" si="137"/>
        <v>1</v>
      </c>
      <c r="J42" s="209">
        <f>SUMPRODUCT(('Group Stages'!$I$10:$I$153&lt;&gt;"")*('Group Stages'!$K$10:$K$153&lt;&gt;"")*('Group Stages'!$M$10:$M$153='Dummy Table'!$B42)*('Group Stages'!$I$10:$I$153&lt;'Group Stages'!$K$10:$K$153))</f>
        <v>1</v>
      </c>
      <c r="K42" s="209">
        <f>SUMPRODUCT(('Group Stages'!$I$10:$I$153&lt;&gt;"")*('Group Stages'!$K$10:$K$153&lt;&gt;"")*('Group Stages'!$M$10:$M$153='Dummy Table'!$B42)*('Group Stages'!$I$10:$I$153='Group Stages'!$K$10:$K$153))</f>
        <v>0</v>
      </c>
      <c r="L42" s="209">
        <f>SUMPRODUCT(('Group Stages'!$I$10:$I$153&lt;&gt;"")*('Group Stages'!$K$10:$K$153&lt;&gt;"")*('Group Stages'!$M$10:$M$153='Dummy Table'!$B42)*('Group Stages'!$I$10:$I$153&gt;'Group Stages'!$K$10:$K$153))</f>
        <v>1</v>
      </c>
      <c r="M42" s="209">
        <f>SUMIF('Group Stages'!$M$10:$M$153,'Dummy Table'!$B42,'Group Stages'!$K$10:$K$153)</f>
        <v>0</v>
      </c>
      <c r="N42" s="209">
        <f>SUMIF('Group Stages'!$M$10:$M$153,'Dummy Table'!$B42,'Group Stages'!$I$10:$I$153)</f>
        <v>0</v>
      </c>
      <c r="O42" s="209">
        <f t="shared" si="138"/>
        <v>0</v>
      </c>
      <c r="P42" s="209">
        <f t="shared" si="139"/>
        <v>3</v>
      </c>
      <c r="Q42" s="209">
        <f t="shared" si="140"/>
        <v>1</v>
      </c>
      <c r="R42" s="209">
        <f t="shared" si="141"/>
        <v>1</v>
      </c>
      <c r="S42" s="209">
        <f t="shared" si="142"/>
        <v>2</v>
      </c>
      <c r="T42" s="209">
        <f t="shared" si="143"/>
        <v>0</v>
      </c>
      <c r="U42" s="209">
        <f t="shared" si="144"/>
        <v>0</v>
      </c>
      <c r="V42" s="209">
        <f t="shared" si="145"/>
        <v>0</v>
      </c>
      <c r="W42" s="209">
        <f t="shared" si="146"/>
        <v>4</v>
      </c>
      <c r="X42" s="210">
        <f>IF('Team Setup'!F43&lt;&gt;"",'Team Setup'!F43,DI42)</f>
        <v>4000</v>
      </c>
      <c r="Y42" s="210">
        <f>RANK(W42,W$40:W$43)</f>
        <v>4</v>
      </c>
      <c r="Z42" s="210">
        <f>SUMPRODUCT((W$40:W$43=W42)*(V$40:V$43&gt;V42))</f>
        <v>0</v>
      </c>
      <c r="AA42" s="210">
        <f>SUMPRODUCT((Y$40:Y$43=Y42)*(Z$40:Z$43=Z42)*(T$40:T$43&gt;T42))</f>
        <v>0</v>
      </c>
      <c r="AB42" s="210">
        <f>SUMPRODUCT((Y$40:Y$43=Y42)*(Z$40:Z$43=Z42)*(T$40:T$43=T42)*(X$40:X$43&gt;X42))</f>
        <v>0</v>
      </c>
      <c r="AC42" s="209">
        <v>3</v>
      </c>
      <c r="AD42" s="209" t="str">
        <f>VLOOKUP(AC42,$A$40:$B$43,2,FALSE)</f>
        <v>Bor. Mönchengladbach</v>
      </c>
      <c r="AE42" s="209">
        <f>VLOOKUP($AD42,$B$40:$W$43,22,FALSE)</f>
        <v>5</v>
      </c>
      <c r="AF42" s="209" t="str">
        <f t="shared" ref="AF42" si="193">IF(AE42=AE41,AD42,"")</f>
        <v>Bor. Mönchengladbach</v>
      </c>
      <c r="AG42" s="210">
        <f>SUMPRODUCT(($BK$4:$BK$147='Dummy Table'!$AF42)*($BL$4:$BL$147&gt;$BM$4:$BM$147))</f>
        <v>0</v>
      </c>
      <c r="AH42" s="210">
        <f>SUMPRODUCT(($BK$4:$BK$147='Dummy Table'!$AF42)*($BL$4:$BL$147=$BM$4:$BM$147))</f>
        <v>0</v>
      </c>
      <c r="AI42" s="210">
        <f>SUMPRODUCT(($BK$4:$BK$147='Dummy Table'!$AF42)*($BL$4:$BL$147&lt;$BM$4:$BM$147))</f>
        <v>0</v>
      </c>
      <c r="AJ42" s="210">
        <f>SUMIF($BK$4:$BK$147,'Dummy Table'!$AF42,$BL$4:$BL$147)</f>
        <v>0</v>
      </c>
      <c r="AK42" s="210">
        <f>SUMIF($BK$4:$BK$147,'Dummy Table'!$AF42,$BM$4:$BM$147)</f>
        <v>0</v>
      </c>
      <c r="AL42" s="210">
        <f t="shared" si="148"/>
        <v>0</v>
      </c>
      <c r="AM42" s="210">
        <f t="shared" si="149"/>
        <v>0</v>
      </c>
      <c r="AN42" s="210">
        <f>SUMPRODUCT(($BN$4:$BN$147='Dummy Table'!$AF42)*($BL$4:$BL$147&lt;$BM$4:$BM$147))</f>
        <v>0</v>
      </c>
      <c r="AO42" s="210">
        <f>SUMPRODUCT(($BN$4:$BN$147='Dummy Table'!$AF42)*($BL$4:$BL$147=$BM$4:$BM$147))</f>
        <v>0</v>
      </c>
      <c r="AP42" s="210">
        <f>SUMPRODUCT(($BN$4:$BN$147='Dummy Table'!$AF42)*($BL$4:$BL$147&gt;$BM$4:$BM$147))</f>
        <v>0</v>
      </c>
      <c r="AQ42" s="210">
        <f>SUMIF($BN$4:$BN$147,'Dummy Table'!$AF42,$BM$4:$BM$147)</f>
        <v>0</v>
      </c>
      <c r="AR42" s="210">
        <f>SUMIF($BN$4:$BN$147,'Dummy Table'!$AF42,$BL$4:$BL$147)</f>
        <v>0</v>
      </c>
      <c r="AS42" s="210">
        <f t="shared" si="150"/>
        <v>0</v>
      </c>
      <c r="AT42" s="210">
        <f t="shared" si="151"/>
        <v>0</v>
      </c>
      <c r="AU42" s="210">
        <f t="shared" si="152"/>
        <v>0</v>
      </c>
      <c r="AV42" s="210">
        <f t="shared" si="153"/>
        <v>0</v>
      </c>
      <c r="AW42" s="210">
        <f t="shared" si="154"/>
        <v>0</v>
      </c>
      <c r="AX42" s="210">
        <f t="shared" si="155"/>
        <v>0</v>
      </c>
      <c r="AY42" s="210">
        <f t="shared" si="156"/>
        <v>0</v>
      </c>
      <c r="AZ42" s="210">
        <f t="shared" si="157"/>
        <v>0</v>
      </c>
      <c r="BA42" s="210">
        <f t="shared" si="158"/>
        <v>0</v>
      </c>
      <c r="BB42" s="209">
        <f t="shared" si="2"/>
        <v>0</v>
      </c>
      <c r="BC42" s="209">
        <f t="shared" si="3"/>
        <v>0</v>
      </c>
      <c r="BD42" s="209">
        <f t="shared" si="4"/>
        <v>24000</v>
      </c>
      <c r="BE42" s="209">
        <f>RANK(BA42,BA$40:BA$43)</f>
        <v>1</v>
      </c>
      <c r="BF42" s="209">
        <f>SUMPRODUCT((BA$40:BA$43=BA42)*(AZ$40:AZ$43&gt;AZ42))</f>
        <v>0</v>
      </c>
      <c r="BG42" s="209">
        <f>SUMPRODUCT((BA$40:BA$43=BA42)*(BE$40:BE$43=BE42)*(AZ$40:AZ$43=AZ42)*(AQ$40:AQ$43&gt;AQ42))</f>
        <v>0</v>
      </c>
      <c r="BH42" s="209">
        <f>SUMPRODUCT((BA$40:BA$43=BA42)*(BE$40:BE$43=BE42)*(AZ$40:AZ$43=AZ42)*(AQ$40:AQ$43=AQ42)*(BB$40:BB$43&gt;BB42))</f>
        <v>0</v>
      </c>
      <c r="BI42" s="209">
        <f>SUMPRODUCT((BA$40:BA$43=BA42)*(BE$40:BE$43=BE42)*(AZ$40:AZ$43=AZ42)*(AQ$40:AQ$43=AQ42)*(BB$40:BB$43=BB42)*(BC$40:BC$43&gt;BC42))</f>
        <v>0</v>
      </c>
      <c r="BJ42" s="209">
        <f>SUMPRODUCT((BA$40:BA$43=BA42)*(BE$40:BE$43=BE42)*(AZ$40:AZ$43=AZ42)*(AQ$40:AQ$43=AQ42)*(BB$40:BB$43=BB42)*(BC$40:BC$43=BC42)*(BD$40:BD$43&gt;BD42))</f>
        <v>1</v>
      </c>
      <c r="BK42" s="209" t="str">
        <f>IF(AND(COUNTIF($AF$4:$AF$35,'Group Stages'!G48)&gt;0,COUNTIF($AF$4:$AF$35,'Group Stages'!M48)&gt;0,'Group Stages'!I48&lt;&gt;"",'Group Stages'!K48&lt;&gt;""),'Group Stages'!G48,"")</f>
        <v/>
      </c>
      <c r="BL42" s="209" t="str">
        <f>IF($BK42&lt;&gt;"",'Group Stages'!I48,"")</f>
        <v/>
      </c>
      <c r="BM42" s="209" t="str">
        <f>IF($BK42&lt;&gt;"",'Group Stages'!K48,"")</f>
        <v/>
      </c>
      <c r="BN42" s="209" t="str">
        <f>IF($BK42&lt;&gt;"",'Group Stages'!M48,"")</f>
        <v/>
      </c>
      <c r="BO42" s="209">
        <f t="shared" si="159"/>
        <v>2</v>
      </c>
      <c r="BP42" s="209" t="str">
        <f t="shared" si="160"/>
        <v>Bor. Mönchengladbach</v>
      </c>
      <c r="BQ42" s="209">
        <f>VLOOKUP($AD42,$B$40:$W$43,22,FALSE)</f>
        <v>5</v>
      </c>
      <c r="BR42" s="209" t="str">
        <f t="shared" ref="BR42" si="194">IF(AND(BQ42&lt;&gt;BQ41,BQ42=BQ43),AD42,"")</f>
        <v/>
      </c>
      <c r="BS42" s="217">
        <f>SUMPRODUCT(($CW$4:$CW$147='Dummy Table'!$BR42)*($CX$4:$CX$147&gt;$CY$4:$CY$147))</f>
        <v>0</v>
      </c>
      <c r="BT42" s="217">
        <f>SUMPRODUCT(($CW$4:$CW$147='Dummy Table'!$BR42)*($CX$4:$CX$147=$CY$4:$CY$147))</f>
        <v>142</v>
      </c>
      <c r="BU42" s="217">
        <f>SUMPRODUCT(($CW$4:$CW$147='Dummy Table'!$BR42)*($CX$4:$CX$147&lt;$CY$4:$CY$147))</f>
        <v>0</v>
      </c>
      <c r="BV42" s="217">
        <f>SUMIF($CW$4:$CW$147,'Dummy Table'!$BR42,$CX$4:$CX$147)</f>
        <v>0</v>
      </c>
      <c r="BW42" s="217">
        <f>SUMIF($CW$4:$CW$147,'Dummy Table'!$BR42,$CY$4:$CY$147)</f>
        <v>0</v>
      </c>
      <c r="BX42" s="217">
        <f t="shared" si="161"/>
        <v>0</v>
      </c>
      <c r="BY42" s="217" t="str">
        <f t="shared" si="162"/>
        <v/>
      </c>
      <c r="BZ42" s="217">
        <f>SUMPRODUCT(($CZ$4:$CZ$147='Dummy Table'!$BR42)*($CX$4:$CX$147&lt;$CY$4:$CY$147))</f>
        <v>0</v>
      </c>
      <c r="CA42" s="217">
        <f>SUMPRODUCT(($CZ$4:$CZ$147='Dummy Table'!$BR42)*($CX$4:$CX$147=$CY$4:$CY$147))</f>
        <v>142</v>
      </c>
      <c r="CB42" s="217">
        <f>SUMPRODUCT(($CZ$4:$CZ$147='Dummy Table'!$BR42)*($CX$4:$CX$147&gt;$CY$4:$CY$147))</f>
        <v>0</v>
      </c>
      <c r="CC42" s="217">
        <f>SUMIF($CZ$4:$CZ$147,'Dummy Table'!$BR42,$CY$4:$CY$147)</f>
        <v>0</v>
      </c>
      <c r="CD42" s="217">
        <f>SUMIF($CZ$4:$CZ$147,'Dummy Table'!$BR42,$CX$4:$CX$147)</f>
        <v>0</v>
      </c>
      <c r="CE42" s="217">
        <f t="shared" si="163"/>
        <v>0</v>
      </c>
      <c r="CF42" s="217" t="str">
        <f t="shared" si="164"/>
        <v/>
      </c>
      <c r="CG42" s="217">
        <f t="shared" si="165"/>
        <v>0</v>
      </c>
      <c r="CH42" s="217">
        <f t="shared" si="166"/>
        <v>284</v>
      </c>
      <c r="CI42" s="217">
        <f t="shared" si="167"/>
        <v>0</v>
      </c>
      <c r="CJ42" s="217">
        <f t="shared" si="168"/>
        <v>0</v>
      </c>
      <c r="CK42" s="217">
        <f t="shared" si="169"/>
        <v>0</v>
      </c>
      <c r="CL42" s="217">
        <f t="shared" si="170"/>
        <v>0</v>
      </c>
      <c r="CM42" s="217">
        <f t="shared" si="171"/>
        <v>-1</v>
      </c>
      <c r="CN42" s="210">
        <f t="shared" si="172"/>
        <v>4000</v>
      </c>
      <c r="CO42" s="210">
        <f>SUMIF($CZ$4:$CZ$147,'Dummy Table'!$BR42,$CY$4:$CY$147)*2</f>
        <v>0</v>
      </c>
      <c r="CP42" s="210">
        <f>RANK(CM42,CM$40:CM$43)</f>
        <v>1</v>
      </c>
      <c r="CR42" s="210">
        <f>SUMPRODUCT((CM$40:CM$43=CM42)*(CL$40:CL$43&gt;CL42))</f>
        <v>0</v>
      </c>
      <c r="CS42" s="210">
        <f>SUMPRODUCT((CP$40:CP$43=CP42)*(CR$40:CR$43=CR42)*(CO$40:CO$43&gt;CO42))</f>
        <v>0</v>
      </c>
      <c r="CT42" s="210">
        <f>IF(BR42&lt;&gt;"",SUMPRODUCT((CP$40:CP$43=CP42)*(CR$40:CR$43=CR42)*(CS$40:CS$43=CS42)*(V$40:V$43&gt;V42)),0)</f>
        <v>0</v>
      </c>
      <c r="CU42" s="210">
        <f>IF($BR42&lt;&gt;"",SUMPRODUCT((CP$40:CP$43=CP42)*(CR$40:CR$43=CR42)*(CS$40:CS$43=CS42)*(CT$40:CT$43=CT42)*(T$40:T$43&gt;T42)),0)</f>
        <v>0</v>
      </c>
      <c r="CV42" s="210">
        <f>SUMPRODUCT((CP$40:CP$43=CP42)*(CR$40:CR$43=CR42)*(CS$40:CS$43=CS42)*(CT$40:CT$43=CT42)*(CU$40:CU$43=CU42)*(CN$40:CN$43&gt;CN42))</f>
        <v>3</v>
      </c>
      <c r="CW42" s="209" t="str">
        <f>IF(AND(COUNTIF($BR$4:$BR$35,'Group Stages'!$G48)&gt;0,COUNTIF($BR$4:$BR$35,'Group Stages'!$M48)&gt;0),'Group Stages'!$G48,"")</f>
        <v/>
      </c>
      <c r="CX42" s="209" t="str">
        <f>IF($CW42&lt;&gt;"",'Group Stages'!$I48,"")</f>
        <v/>
      </c>
      <c r="CY42" s="209" t="str">
        <f>IF($CW42&lt;&gt;"",'Group Stages'!$K48,"")</f>
        <v/>
      </c>
      <c r="CZ42" s="209" t="str">
        <f>IF($CW42&lt;&gt;"",'Group Stages'!$M48,"")</f>
        <v/>
      </c>
      <c r="DA42" s="210" t="str">
        <f t="shared" si="173"/>
        <v/>
      </c>
      <c r="DB42" s="209" t="str">
        <f t="shared" si="174"/>
        <v/>
      </c>
      <c r="DC42" s="209">
        <v>3</v>
      </c>
      <c r="DD42" s="209" t="str">
        <f t="shared" si="175"/>
        <v/>
      </c>
      <c r="DE42" s="209">
        <f t="shared" ref="DE42" si="195">IF(AND(DD42="",DD41="",DD40=""),DC42,IF(AND(DD40&lt;&gt;"",DD41="",DD42=""),2,IF(AND(DD40&lt;&gt;"",DD41&lt;&gt;"",DD42=""),1,"")))</f>
        <v>2</v>
      </c>
      <c r="DF42" s="209" t="str">
        <f>VLOOKUP(DE42,$BO$40:$BP$43,2,FALSE)</f>
        <v>Bor. Mönchengladbach</v>
      </c>
      <c r="DG42" s="209">
        <v>3</v>
      </c>
      <c r="DH42" s="209" t="str">
        <f t="shared" ref="DH42" si="196">IF(DB42&lt;&gt;"",IF(DA42&lt;DA43,DB42,DB43),IF(DF42&lt;&gt;"",DF42,DD42))</f>
        <v>Bor. Mönchengladbach</v>
      </c>
      <c r="DI42" s="209">
        <v>39</v>
      </c>
    </row>
    <row r="43" spans="1:113">
      <c r="A43" s="209">
        <f t="shared" si="135"/>
        <v>1</v>
      </c>
      <c r="B43" s="209" t="str">
        <f>'Team Setup'!B44</f>
        <v>İstanbul Başakşehir F.K.</v>
      </c>
      <c r="C43" s="210">
        <f>SUMPRODUCT(('Group Stages'!$I$10:$I$153&lt;&gt;"")*('Group Stages'!$K$10:$K$153&lt;&gt;"")*('Group Stages'!$G$10:$G$153='Dummy Table'!$B43)*('Group Stages'!$I$10:$I$153&gt;'Group Stages'!$K$10:$K$153))</f>
        <v>1</v>
      </c>
      <c r="D43" s="210">
        <f>SUMPRODUCT(('Group Stages'!$I$10:$I$153&lt;&gt;"")*('Group Stages'!$K$10:$K$153&lt;&gt;"")*('Group Stages'!$G$10:$G$153='Dummy Table'!$B43)*('Group Stages'!$I$10:$I$153='Group Stages'!$K$10:$K$153))</f>
        <v>1</v>
      </c>
      <c r="E43" s="210">
        <f>SUMPRODUCT(('Group Stages'!$I$10:$I$153&lt;&gt;"")*('Group Stages'!$K$10:$K$153&lt;&gt;"")*('Group Stages'!$G$10:$G$153='Dummy Table'!$B43)*('Group Stages'!$I$10:$I$153&lt;'Group Stages'!$K$10:$K$153))</f>
        <v>0</v>
      </c>
      <c r="F43" s="210">
        <f>SUMIF('Group Stages'!$G$10:$G$153,'Dummy Table'!$B43,'Group Stages'!$I$10:$I$153)</f>
        <v>0</v>
      </c>
      <c r="G43" s="210">
        <f>SUMIF('Group Stages'!$G$10:$G$153,'Dummy Table'!$B43,'Group Stages'!$K$10:$K$153)</f>
        <v>0</v>
      </c>
      <c r="H43" s="210">
        <f t="shared" si="136"/>
        <v>0</v>
      </c>
      <c r="I43" s="210">
        <f t="shared" si="137"/>
        <v>4</v>
      </c>
      <c r="J43" s="209">
        <f>SUMPRODUCT(('Group Stages'!$I$10:$I$153&lt;&gt;"")*('Group Stages'!$K$10:$K$153&lt;&gt;"")*('Group Stages'!$M$10:$M$153='Dummy Table'!$B43)*('Group Stages'!$I$10:$I$153&lt;'Group Stages'!$K$10:$K$153))</f>
        <v>1</v>
      </c>
      <c r="K43" s="209">
        <f>SUMPRODUCT(('Group Stages'!$I$10:$I$153&lt;&gt;"")*('Group Stages'!$K$10:$K$153&lt;&gt;"")*('Group Stages'!$M$10:$M$153='Dummy Table'!$B43)*('Group Stages'!$I$10:$I$153='Group Stages'!$K$10:$K$153))</f>
        <v>0</v>
      </c>
      <c r="L43" s="209">
        <f>SUMPRODUCT(('Group Stages'!$I$10:$I$153&lt;&gt;"")*('Group Stages'!$K$10:$K$153&lt;&gt;"")*('Group Stages'!$M$10:$M$153='Dummy Table'!$B43)*('Group Stages'!$I$10:$I$153&gt;'Group Stages'!$K$10:$K$153))</f>
        <v>1</v>
      </c>
      <c r="M43" s="209">
        <f>SUMIF('Group Stages'!$M$10:$M$153,'Dummy Table'!$B43,'Group Stages'!$K$10:$K$153)</f>
        <v>0</v>
      </c>
      <c r="N43" s="209">
        <f>SUMIF('Group Stages'!$M$10:$M$153,'Dummy Table'!$B43,'Group Stages'!$I$10:$I$153)</f>
        <v>0</v>
      </c>
      <c r="O43" s="209">
        <f t="shared" si="138"/>
        <v>0</v>
      </c>
      <c r="P43" s="209">
        <f t="shared" si="139"/>
        <v>3</v>
      </c>
      <c r="Q43" s="209">
        <f t="shared" si="140"/>
        <v>2</v>
      </c>
      <c r="R43" s="209">
        <f t="shared" si="141"/>
        <v>1</v>
      </c>
      <c r="S43" s="209">
        <f t="shared" si="142"/>
        <v>1</v>
      </c>
      <c r="T43" s="209">
        <f t="shared" si="143"/>
        <v>0</v>
      </c>
      <c r="U43" s="209">
        <f t="shared" si="144"/>
        <v>0</v>
      </c>
      <c r="V43" s="209">
        <f t="shared" si="145"/>
        <v>0</v>
      </c>
      <c r="W43" s="209">
        <f t="shared" si="146"/>
        <v>7</v>
      </c>
      <c r="X43" s="210">
        <f>IF('Team Setup'!F44&lt;&gt;"",'Team Setup'!F44,DI43)</f>
        <v>15500</v>
      </c>
      <c r="Y43" s="210">
        <f>RANK(W43,W$40:W$43)</f>
        <v>1</v>
      </c>
      <c r="Z43" s="210">
        <f>SUMPRODUCT((W$40:W$43=W43)*(V$40:V$43&gt;V43))</f>
        <v>0</v>
      </c>
      <c r="AA43" s="210">
        <f>SUMPRODUCT((Y$40:Y$43=Y43)*(Z$40:Z$43=Z43)*(T$40:T$43&gt;T43))</f>
        <v>0</v>
      </c>
      <c r="AB43" s="210">
        <f>SUMPRODUCT((Y$40:Y$43=Y43)*(Z$40:Z$43=Z43)*(T$40:T$43=T43)*(X$40:X$43&gt;X43))</f>
        <v>0</v>
      </c>
      <c r="AC43" s="209">
        <v>4</v>
      </c>
      <c r="AD43" s="209" t="str">
        <f>VLOOKUP(AC43,$A$40:$B$43,2,FALSE)</f>
        <v>Wolfsberger AC</v>
      </c>
      <c r="AE43" s="209">
        <f>VLOOKUP($AD43,$B$40:$W$43,22,FALSE)</f>
        <v>4</v>
      </c>
      <c r="AF43" s="209" t="str">
        <f t="shared" ref="AF43" si="197">IF(AND(AE43=AE42,AE42=AE41),AD43,"")</f>
        <v/>
      </c>
      <c r="AG43" s="210">
        <f>SUMPRODUCT(($BK$4:$BK$147='Dummy Table'!$AF43)*($BL$4:$BL$147&gt;$BM$4:$BM$147))</f>
        <v>0</v>
      </c>
      <c r="AH43" s="210">
        <f>SUMPRODUCT(($BK$4:$BK$147='Dummy Table'!$AF43)*($BL$4:$BL$147=$BM$4:$BM$147))</f>
        <v>134</v>
      </c>
      <c r="AI43" s="210">
        <f>SUMPRODUCT(($BK$4:$BK$147='Dummy Table'!$AF43)*($BL$4:$BL$147&lt;$BM$4:$BM$147))</f>
        <v>0</v>
      </c>
      <c r="AJ43" s="210">
        <f>SUMIF($BK$4:$BK$147,'Dummy Table'!$AF43,$BL$4:$BL$147)</f>
        <v>0</v>
      </c>
      <c r="AK43" s="210">
        <f>SUMIF($BK$4:$BK$147,'Dummy Table'!$AF43,$BM$4:$BM$147)</f>
        <v>0</v>
      </c>
      <c r="AL43" s="210">
        <f t="shared" si="148"/>
        <v>0</v>
      </c>
      <c r="AM43" s="210" t="str">
        <f t="shared" si="149"/>
        <v/>
      </c>
      <c r="AN43" s="210">
        <f>SUMPRODUCT(($BN$4:$BN$147='Dummy Table'!$AF43)*($BL$4:$BL$147&lt;$BM$4:$BM$147))</f>
        <v>0</v>
      </c>
      <c r="AO43" s="210">
        <f>SUMPRODUCT(($BN$4:$BN$147='Dummy Table'!$AF43)*($BL$4:$BL$147=$BM$4:$BM$147))</f>
        <v>134</v>
      </c>
      <c r="AP43" s="210">
        <f>SUMPRODUCT(($BN$4:$BN$147='Dummy Table'!$AF43)*($BL$4:$BL$147&gt;$BM$4:$BM$147))</f>
        <v>0</v>
      </c>
      <c r="AQ43" s="210">
        <f>SUMIF($BN$4:$BN$147,'Dummy Table'!$AF43,$BM$4:$BM$147)</f>
        <v>0</v>
      </c>
      <c r="AR43" s="210">
        <f>SUMIF($BN$4:$BN$147,'Dummy Table'!$AF43,$BL$4:$BL$147)</f>
        <v>0</v>
      </c>
      <c r="AS43" s="210">
        <f t="shared" si="150"/>
        <v>0</v>
      </c>
      <c r="AT43" s="210" t="str">
        <f t="shared" si="151"/>
        <v/>
      </c>
      <c r="AU43" s="210">
        <f t="shared" si="152"/>
        <v>0</v>
      </c>
      <c r="AV43" s="210">
        <f t="shared" si="153"/>
        <v>268</v>
      </c>
      <c r="AW43" s="210">
        <f t="shared" si="154"/>
        <v>0</v>
      </c>
      <c r="AX43" s="210">
        <f t="shared" si="155"/>
        <v>0</v>
      </c>
      <c r="AY43" s="210">
        <f t="shared" si="156"/>
        <v>0</v>
      </c>
      <c r="AZ43" s="210">
        <f t="shared" si="157"/>
        <v>0</v>
      </c>
      <c r="BA43" s="210">
        <f t="shared" si="158"/>
        <v>-1</v>
      </c>
      <c r="BB43" s="209" t="str">
        <f t="shared" si="2"/>
        <v/>
      </c>
      <c r="BC43" s="209" t="str">
        <f t="shared" si="3"/>
        <v/>
      </c>
      <c r="BD43" s="209" t="str">
        <f t="shared" si="4"/>
        <v/>
      </c>
      <c r="BE43" s="209">
        <f>RANK(BA43,BA$40:BA$43)</f>
        <v>3</v>
      </c>
      <c r="BF43" s="209">
        <f>SUMPRODUCT((BA$40:BA$43=BA43)*(AZ$40:AZ$43&gt;AZ43))</f>
        <v>0</v>
      </c>
      <c r="BG43" s="209">
        <f>SUMPRODUCT((BA$40:BA$43=BA43)*(BE$40:BE$43=BE43)*(AZ$40:AZ$43=AZ43)*(AQ$40:AQ$43&gt;AQ43))</f>
        <v>0</v>
      </c>
      <c r="BH43" s="209">
        <f>SUMPRODUCT((BA$40:BA$43=BA43)*(BE$40:BE$43=BE43)*(AZ$40:AZ$43=AZ43)*(AQ$40:AQ$43=AQ43)*(BB$40:BB$43&gt;BB43))</f>
        <v>0</v>
      </c>
      <c r="BI43" s="209">
        <f>SUMPRODUCT((BA$40:BA$43=BA43)*(BE$40:BE$43=BE43)*(AZ$40:AZ$43=AZ43)*(AQ$40:AQ$43=AQ43)*(BB$40:BB$43=BB43)*(BC$40:BC$43&gt;BC43))</f>
        <v>0</v>
      </c>
      <c r="BJ43" s="209">
        <f>SUMPRODUCT((BA$40:BA$43=BA43)*(BE$40:BE$43=BE43)*(AZ$40:AZ$43=AZ43)*(AQ$40:AQ$43=AQ43)*(BB$40:BB$43=BB43)*(BC$40:BC$43=BC43)*(BD$40:BD$43&gt;BD43))</f>
        <v>0</v>
      </c>
      <c r="BK43" s="209" t="str">
        <f>IF(AND(COUNTIF($AF$4:$AF$35,'Group Stages'!G49)&gt;0,COUNTIF($AF$4:$AF$35,'Group Stages'!M49)&gt;0,'Group Stages'!I49&lt;&gt;"",'Group Stages'!K49&lt;&gt;""),'Group Stages'!G49,"")</f>
        <v/>
      </c>
      <c r="BL43" s="209" t="str">
        <f>IF($BK43&lt;&gt;"",'Group Stages'!I49,"")</f>
        <v/>
      </c>
      <c r="BM43" s="209" t="str">
        <f>IF($BK43&lt;&gt;"",'Group Stages'!K49,"")</f>
        <v/>
      </c>
      <c r="BN43" s="209" t="str">
        <f>IF($BK43&lt;&gt;"",'Group Stages'!M49,"")</f>
        <v/>
      </c>
      <c r="BO43" s="209" t="str">
        <f t="shared" si="159"/>
        <v/>
      </c>
      <c r="BP43" s="209" t="str">
        <f t="shared" si="160"/>
        <v/>
      </c>
      <c r="BQ43" s="209">
        <f>VLOOKUP($AD43,$B$40:$W$43,22,FALSE)</f>
        <v>4</v>
      </c>
      <c r="BR43" s="209" t="str">
        <f t="shared" ref="BR43" si="198">IF(BR42&lt;&gt;"",AD43,"")</f>
        <v/>
      </c>
      <c r="BS43" s="217">
        <f>SUMPRODUCT(($CW$4:$CW$147='Dummy Table'!$BR43)*($CX$4:$CX$147&gt;$CY$4:$CY$147))</f>
        <v>0</v>
      </c>
      <c r="BT43" s="217">
        <f>SUMPRODUCT(($CW$4:$CW$147='Dummy Table'!$BR43)*($CX$4:$CX$147=$CY$4:$CY$147))</f>
        <v>142</v>
      </c>
      <c r="BU43" s="217">
        <f>SUMPRODUCT(($CW$4:$CW$147='Dummy Table'!$BR43)*($CX$4:$CX$147&lt;$CY$4:$CY$147))</f>
        <v>0</v>
      </c>
      <c r="BV43" s="217">
        <f>SUMIF($CW$4:$CW$147,'Dummy Table'!$BR43,$CX$4:$CX$147)</f>
        <v>0</v>
      </c>
      <c r="BW43" s="217">
        <f>SUMIF($CW$4:$CW$147,'Dummy Table'!$BR43,$CY$4:$CY$147)</f>
        <v>0</v>
      </c>
      <c r="BX43" s="217">
        <f t="shared" si="161"/>
        <v>0</v>
      </c>
      <c r="BY43" s="217" t="str">
        <f t="shared" si="162"/>
        <v/>
      </c>
      <c r="BZ43" s="217">
        <f>SUMPRODUCT(($CZ$4:$CZ$147='Dummy Table'!$BR43)*($CX$4:$CX$147&lt;$CY$4:$CY$147))</f>
        <v>0</v>
      </c>
      <c r="CA43" s="217">
        <f>SUMPRODUCT(($CZ$4:$CZ$147='Dummy Table'!$BR43)*($CX$4:$CX$147=$CY$4:$CY$147))</f>
        <v>142</v>
      </c>
      <c r="CB43" s="217">
        <f>SUMPRODUCT(($CZ$4:$CZ$147='Dummy Table'!$BR43)*($CX$4:$CX$147&gt;$CY$4:$CY$147))</f>
        <v>0</v>
      </c>
      <c r="CC43" s="217">
        <f>SUMIF($CZ$4:$CZ$147,'Dummy Table'!$BR43,$CY$4:$CY$147)</f>
        <v>0</v>
      </c>
      <c r="CD43" s="217">
        <f>SUMIF($CZ$4:$CZ$147,'Dummy Table'!$BR43,$CX$4:$CX$147)</f>
        <v>0</v>
      </c>
      <c r="CE43" s="217">
        <f t="shared" si="163"/>
        <v>0</v>
      </c>
      <c r="CF43" s="217" t="str">
        <f t="shared" si="164"/>
        <v/>
      </c>
      <c r="CG43" s="217">
        <f t="shared" si="165"/>
        <v>0</v>
      </c>
      <c r="CH43" s="217">
        <f t="shared" si="166"/>
        <v>284</v>
      </c>
      <c r="CI43" s="217">
        <f t="shared" si="167"/>
        <v>0</v>
      </c>
      <c r="CJ43" s="217">
        <f t="shared" si="168"/>
        <v>0</v>
      </c>
      <c r="CK43" s="217">
        <f t="shared" si="169"/>
        <v>0</v>
      </c>
      <c r="CL43" s="217">
        <f t="shared" si="170"/>
        <v>0</v>
      </c>
      <c r="CM43" s="217">
        <f t="shared" si="171"/>
        <v>-1</v>
      </c>
      <c r="CN43" s="210">
        <f t="shared" si="172"/>
        <v>15500</v>
      </c>
      <c r="CO43" s="210">
        <f>SUMIF($CZ$4:$CZ$147,'Dummy Table'!$BR43,$CY$4:$CY$147)*2</f>
        <v>0</v>
      </c>
      <c r="CP43" s="210">
        <f>RANK(CM43,CM$40:CM$43)</f>
        <v>1</v>
      </c>
      <c r="CR43" s="210">
        <f>SUMPRODUCT((CM$40:CM$43=CM43)*(CL$40:CL$43&gt;CL43))</f>
        <v>0</v>
      </c>
      <c r="CS43" s="210">
        <f>SUMPRODUCT((CP$40:CP$43=CP43)*(CR$40:CR$43=CR43)*(CO$40:CO$43&gt;CO43))</f>
        <v>0</v>
      </c>
      <c r="CT43" s="210">
        <f>IF(BR43&lt;&gt;"",SUMPRODUCT((CP$40:CP$43=CP43)*(CR$40:CR$43=CR43)*(CS$40:CS$43=CS43)*(V$40:V$43&gt;V43)),0)</f>
        <v>0</v>
      </c>
      <c r="CU43" s="210">
        <f>IF($BR43&lt;&gt;"",SUMPRODUCT((CP$40:CP$43=CP43)*(CR$40:CR$43=CR43)*(CS$40:CS$43=CS43)*(CT$40:CT$43=CT43)*(T$40:T$43&gt;T43)),0)</f>
        <v>0</v>
      </c>
      <c r="CV43" s="210">
        <f>SUMPRODUCT((CP$40:CP$43=CP43)*(CR$40:CR$43=CR43)*(CS$40:CS$43=CS43)*(CT$40:CT$43=CT43)*(CU$40:CU$43=CU43)*(CN$40:CN$43&gt;CN43))</f>
        <v>2</v>
      </c>
      <c r="CW43" s="209" t="str">
        <f>IF(AND(COUNTIF($BR$4:$BR$35,'Group Stages'!$G49)&gt;0,COUNTIF($BR$4:$BR$35,'Group Stages'!$M49)&gt;0),'Group Stages'!$G49,"")</f>
        <v/>
      </c>
      <c r="CX43" s="209" t="str">
        <f>IF($CW43&lt;&gt;"",'Group Stages'!$I49,"")</f>
        <v/>
      </c>
      <c r="CY43" s="209" t="str">
        <f>IF($CW43&lt;&gt;"",'Group Stages'!$K49,"")</f>
        <v/>
      </c>
      <c r="CZ43" s="209" t="str">
        <f>IF($CW43&lt;&gt;"",'Group Stages'!$M49,"")</f>
        <v/>
      </c>
      <c r="DA43" s="210" t="str">
        <f t="shared" si="173"/>
        <v/>
      </c>
      <c r="DB43" s="209" t="str">
        <f t="shared" si="174"/>
        <v/>
      </c>
      <c r="DC43" s="209">
        <v>4</v>
      </c>
      <c r="DD43" s="209" t="str">
        <f t="shared" si="175"/>
        <v>Wolfsberger AC</v>
      </c>
      <c r="DE43" s="209" t="str">
        <f t="shared" ref="DE43" si="199">IF(AND(DD43="",DD42="",DD41="",DD40=""),4,IF(AND(DD43="",DD42="",DD41=""),3,IF(AND(DD41&lt;&gt;"",DD42="",DD43=""),2,IF(AND(DD41&lt;&gt;"",DD42&lt;&gt;"",DD43=""),1,""))))</f>
        <v/>
      </c>
      <c r="DF43" s="209" t="str">
        <f>VLOOKUP(DE43,$BO$40:$BP$43,2,FALSE)</f>
        <v/>
      </c>
      <c r="DG43" s="209">
        <v>4</v>
      </c>
      <c r="DH43" s="209" t="str">
        <f t="shared" ref="DH43" si="200">IF(DB43&lt;&gt;"",IF(DA42&lt;DA43,DB43,DB42),IF(DF43&lt;&gt;"",DF43,DD43))</f>
        <v>Wolfsberger AC</v>
      </c>
      <c r="DI43" s="209">
        <v>40</v>
      </c>
    </row>
    <row r="44" spans="1:113">
      <c r="A44" s="209">
        <f t="shared" si="135"/>
        <v>3</v>
      </c>
      <c r="B44" s="209" t="str">
        <f>'Team Setup'!B45</f>
        <v>Slovan Bratislava</v>
      </c>
      <c r="C44" s="210">
        <f>SUMPRODUCT(('Group Stages'!$I$10:$I$153&lt;&gt;"")*('Group Stages'!$K$10:$K$153&lt;&gt;"")*('Group Stages'!$G$10:$G$153='Dummy Table'!$B44)*('Group Stages'!$I$10:$I$153&gt;'Group Stages'!$K$10:$K$153))</f>
        <v>1</v>
      </c>
      <c r="D44" s="210">
        <f>SUMPRODUCT(('Group Stages'!$I$10:$I$153&lt;&gt;"")*('Group Stages'!$K$10:$K$153&lt;&gt;"")*('Group Stages'!$G$10:$G$153='Dummy Table'!$B44)*('Group Stages'!$I$10:$I$153='Group Stages'!$K$10:$K$153))</f>
        <v>0</v>
      </c>
      <c r="E44" s="210">
        <f>SUMPRODUCT(('Group Stages'!$I$10:$I$153&lt;&gt;"")*('Group Stages'!$K$10:$K$153&lt;&gt;"")*('Group Stages'!$G$10:$G$153='Dummy Table'!$B44)*('Group Stages'!$I$10:$I$153&lt;'Group Stages'!$K$10:$K$153))</f>
        <v>1</v>
      </c>
      <c r="F44" s="210">
        <f>SUMIF('Group Stages'!$G$10:$G$153,'Dummy Table'!$B44,'Group Stages'!$I$10:$I$153)</f>
        <v>0</v>
      </c>
      <c r="G44" s="210">
        <f>SUMIF('Group Stages'!$G$10:$G$153,'Dummy Table'!$B44,'Group Stages'!$K$10:$K$153)</f>
        <v>0</v>
      </c>
      <c r="H44" s="210">
        <f t="shared" si="136"/>
        <v>0</v>
      </c>
      <c r="I44" s="210">
        <f t="shared" si="137"/>
        <v>3</v>
      </c>
      <c r="J44" s="209">
        <f>SUMPRODUCT(('Group Stages'!$I$10:$I$153&lt;&gt;"")*('Group Stages'!$K$10:$K$153&lt;&gt;"")*('Group Stages'!$M$10:$M$153='Dummy Table'!$B44)*('Group Stages'!$I$10:$I$153&lt;'Group Stages'!$K$10:$K$153))</f>
        <v>0</v>
      </c>
      <c r="K44" s="209">
        <f>SUMPRODUCT(('Group Stages'!$I$10:$I$153&lt;&gt;"")*('Group Stages'!$K$10:$K$153&lt;&gt;"")*('Group Stages'!$M$10:$M$153='Dummy Table'!$B44)*('Group Stages'!$I$10:$I$153='Group Stages'!$K$10:$K$153))</f>
        <v>1</v>
      </c>
      <c r="L44" s="209">
        <f>SUMPRODUCT(('Group Stages'!$I$10:$I$153&lt;&gt;"")*('Group Stages'!$K$10:$K$153&lt;&gt;"")*('Group Stages'!$M$10:$M$153='Dummy Table'!$B44)*('Group Stages'!$I$10:$I$153&gt;'Group Stages'!$K$10:$K$153))</f>
        <v>1</v>
      </c>
      <c r="M44" s="209">
        <f>SUMIF('Group Stages'!$M$10:$M$153,'Dummy Table'!$B44,'Group Stages'!$K$10:$K$153)</f>
        <v>0</v>
      </c>
      <c r="N44" s="209">
        <f>SUMIF('Group Stages'!$M$10:$M$153,'Dummy Table'!$B44,'Group Stages'!$I$10:$I$153)</f>
        <v>0</v>
      </c>
      <c r="O44" s="209">
        <f t="shared" si="138"/>
        <v>0</v>
      </c>
      <c r="P44" s="209">
        <f t="shared" si="139"/>
        <v>1</v>
      </c>
      <c r="Q44" s="209">
        <f t="shared" si="140"/>
        <v>1</v>
      </c>
      <c r="R44" s="209">
        <f t="shared" si="141"/>
        <v>1</v>
      </c>
      <c r="S44" s="209">
        <f t="shared" si="142"/>
        <v>2</v>
      </c>
      <c r="T44" s="209">
        <f t="shared" si="143"/>
        <v>0</v>
      </c>
      <c r="U44" s="209">
        <f t="shared" si="144"/>
        <v>0</v>
      </c>
      <c r="V44" s="209">
        <f t="shared" si="145"/>
        <v>0</v>
      </c>
      <c r="W44" s="209">
        <f t="shared" si="146"/>
        <v>4</v>
      </c>
      <c r="X44" s="210">
        <f>IF('Team Setup'!F45&lt;&gt;"",'Team Setup'!F45,DI44)</f>
        <v>7000</v>
      </c>
      <c r="Y44" s="210">
        <f>RANK(W44,W$44:W$47)</f>
        <v>3</v>
      </c>
      <c r="Z44" s="210">
        <f>SUMPRODUCT((W$44:W$47=W44)*(V$44:V$47&gt;V44))</f>
        <v>0</v>
      </c>
      <c r="AA44" s="210">
        <f>SUMPRODUCT((Y$44:Y$47=Y44)*(Z$44:Z$47=Z44)*(T$44:T$47&gt;T44))</f>
        <v>0</v>
      </c>
      <c r="AB44" s="210">
        <f>SUMPRODUCT((Y$44:Y$47=Y44)*(Z$44:Z$47=Z44)*(T$44:T$47=T44)*(X$44:X$47&gt;X44))</f>
        <v>0</v>
      </c>
      <c r="AC44" s="209">
        <v>1</v>
      </c>
      <c r="AD44" s="209" t="str">
        <f>VLOOKUP(AC44,$A$44:$B$47,2,FALSE)</f>
        <v>Sporting Braga</v>
      </c>
      <c r="AE44" s="209">
        <f>VLOOKUP($AD44,$B$44:$W$47,22,FALSE)</f>
        <v>10</v>
      </c>
      <c r="AF44" s="209" t="str">
        <f t="shared" ref="AF44" si="201">IF(AE44=AE45,AD44,"")</f>
        <v/>
      </c>
      <c r="AG44" s="210">
        <f>SUMPRODUCT(($BK$4:$BK$147='Dummy Table'!$AF44)*($BL$4:$BL$147&gt;$BM$4:$BM$147))</f>
        <v>0</v>
      </c>
      <c r="AH44" s="210">
        <f>SUMPRODUCT(($BK$4:$BK$147='Dummy Table'!$AF44)*($BL$4:$BL$147=$BM$4:$BM$147))</f>
        <v>134</v>
      </c>
      <c r="AI44" s="210">
        <f>SUMPRODUCT(($BK$4:$BK$147='Dummy Table'!$AF44)*($BL$4:$BL$147&lt;$BM$4:$BM$147))</f>
        <v>0</v>
      </c>
      <c r="AJ44" s="210">
        <f>SUMIF($BK$4:$BK$147,'Dummy Table'!$AF44,$BL$4:$BL$147)</f>
        <v>0</v>
      </c>
      <c r="AK44" s="210">
        <f>SUMIF($BK$4:$BK$147,'Dummy Table'!$AF44,$BM$4:$BM$147)</f>
        <v>0</v>
      </c>
      <c r="AL44" s="210">
        <f t="shared" si="148"/>
        <v>0</v>
      </c>
      <c r="AM44" s="210" t="str">
        <f t="shared" si="149"/>
        <v/>
      </c>
      <c r="AN44" s="210">
        <f>SUMPRODUCT(($BN$4:$BN$147='Dummy Table'!$AF44)*($BL$4:$BL$147&lt;$BM$4:$BM$147))</f>
        <v>0</v>
      </c>
      <c r="AO44" s="210">
        <f>SUMPRODUCT(($BN$4:$BN$147='Dummy Table'!$AF44)*($BL$4:$BL$147=$BM$4:$BM$147))</f>
        <v>134</v>
      </c>
      <c r="AP44" s="210">
        <f>SUMPRODUCT(($BN$4:$BN$147='Dummy Table'!$AF44)*($BL$4:$BL$147&gt;$BM$4:$BM$147))</f>
        <v>0</v>
      </c>
      <c r="AQ44" s="210">
        <f>SUMIF($BN$4:$BN$147,'Dummy Table'!$AF44,$BM$4:$BM$147)</f>
        <v>0</v>
      </c>
      <c r="AR44" s="210">
        <f>SUMIF($BN$4:$BN$147,'Dummy Table'!$AF44,$BL$4:$BL$147)</f>
        <v>0</v>
      </c>
      <c r="AS44" s="210">
        <f t="shared" si="150"/>
        <v>0</v>
      </c>
      <c r="AT44" s="210" t="str">
        <f t="shared" si="151"/>
        <v/>
      </c>
      <c r="AU44" s="210">
        <f t="shared" si="152"/>
        <v>0</v>
      </c>
      <c r="AV44" s="210">
        <f t="shared" si="153"/>
        <v>268</v>
      </c>
      <c r="AW44" s="210">
        <f t="shared" si="154"/>
        <v>0</v>
      </c>
      <c r="AX44" s="210">
        <f t="shared" si="155"/>
        <v>0</v>
      </c>
      <c r="AY44" s="210">
        <f t="shared" si="156"/>
        <v>0</v>
      </c>
      <c r="AZ44" s="210">
        <f t="shared" si="157"/>
        <v>0</v>
      </c>
      <c r="BA44" s="210">
        <f t="shared" si="158"/>
        <v>-1</v>
      </c>
      <c r="BB44" s="209" t="str">
        <f t="shared" si="2"/>
        <v/>
      </c>
      <c r="BC44" s="209" t="str">
        <f t="shared" si="3"/>
        <v/>
      </c>
      <c r="BD44" s="209" t="str">
        <f t="shared" si="4"/>
        <v/>
      </c>
      <c r="BE44" s="209">
        <f>RANK(BA44,BA$44:BA$47)</f>
        <v>1</v>
      </c>
      <c r="BF44" s="209">
        <f>SUMPRODUCT((BA$44:BA$47=BA44)*(AZ$44:AZ$47&gt;AZ44))</f>
        <v>0</v>
      </c>
      <c r="BG44" s="209">
        <f>SUMPRODUCT((BA$44:BA$47=BA44)*(BE$44:BE$47=BE44)*(AZ$44:AZ$47=AZ44)*(AQ$44:AQ$47&gt;AQ44))</f>
        <v>0</v>
      </c>
      <c r="BH44" s="209">
        <f>SUMPRODUCT((BA$44:BA$47=BA44)*(BE$44:BE$47=BE44)*(AZ$44:AZ$47=AZ44)*(AQ$44:AQ$47=AQ44)*(BB$44:BB$47&gt;BB44))</f>
        <v>0</v>
      </c>
      <c r="BI44" s="209">
        <f>SUMPRODUCT((BA$44:BA$47=BA44)*(BE$44:BE$47=BE44)*(AZ$44:AZ$47=AZ44)*(AQ$44:AQ$47=AQ44)*(BB$44:BB$47=BB44)*(BC$44:BC$47&gt;BC44))</f>
        <v>0</v>
      </c>
      <c r="BJ44" s="209">
        <f>SUMPRODUCT((BA$44:BA$47=BA44)*(BE$44:BE$47=BE44)*(AZ$44:AZ$47=AZ44)*(AQ$44:AQ$47=AQ44)*(BB$44:BB$47=BB44)*(BC$44:BC$47=BC44)*(BD$44:BD$47&gt;BD44))</f>
        <v>0</v>
      </c>
      <c r="BK44" s="209" t="str">
        <f>IF(AND(COUNTIF($AF$4:$AF$35,'Group Stages'!G50)&gt;0,COUNTIF($AF$4:$AF$35,'Group Stages'!M50)&gt;0,'Group Stages'!I50&lt;&gt;"",'Group Stages'!K50&lt;&gt;""),'Group Stages'!G50,"")</f>
        <v/>
      </c>
      <c r="BL44" s="209" t="str">
        <f>IF($BK44&lt;&gt;"",'Group Stages'!I50,"")</f>
        <v/>
      </c>
      <c r="BM44" s="209" t="str">
        <f>IF($BK44&lt;&gt;"",'Group Stages'!K50,"")</f>
        <v/>
      </c>
      <c r="BN44" s="209" t="str">
        <f>IF($BK44&lt;&gt;"",'Group Stages'!M50,"")</f>
        <v/>
      </c>
      <c r="BO44" s="209" t="str">
        <f t="shared" si="159"/>
        <v/>
      </c>
      <c r="BP44" s="209" t="str">
        <f t="shared" si="160"/>
        <v/>
      </c>
      <c r="BQ44" s="209">
        <f>VLOOKUP($AD44,$B$44:$W$47,22,FALSE)</f>
        <v>10</v>
      </c>
      <c r="BS44" s="217">
        <f>SUMPRODUCT(($CW$4:$CW$147='Dummy Table'!$BR44)*($CX$4:$CX$147&gt;$CY$4:$CY$147))</f>
        <v>0</v>
      </c>
      <c r="BT44" s="217">
        <f>SUMPRODUCT(($CW$4:$CW$147='Dummy Table'!$BR44)*($CX$4:$CX$147=$CY$4:$CY$147))</f>
        <v>142</v>
      </c>
      <c r="BU44" s="217">
        <f>SUMPRODUCT(($CW$4:$CW$147='Dummy Table'!$BR44)*($CX$4:$CX$147&lt;$CY$4:$CY$147))</f>
        <v>0</v>
      </c>
      <c r="BV44" s="217">
        <f>SUMIF($CW$4:$CW$147,'Dummy Table'!$BR44,$CX$4:$CX$147)</f>
        <v>0</v>
      </c>
      <c r="BW44" s="217">
        <f>SUMIF($CW$4:$CW$147,'Dummy Table'!$BR44,$CY$4:$CY$147)</f>
        <v>0</v>
      </c>
      <c r="BX44" s="217">
        <f t="shared" si="161"/>
        <v>0</v>
      </c>
      <c r="BY44" s="217" t="str">
        <f t="shared" si="162"/>
        <v/>
      </c>
      <c r="BZ44" s="217">
        <f>SUMPRODUCT(($CZ$4:$CZ$147='Dummy Table'!$BR44)*($CX$4:$CX$147&lt;$CY$4:$CY$147))</f>
        <v>0</v>
      </c>
      <c r="CA44" s="217">
        <f>SUMPRODUCT(($CZ$4:$CZ$147='Dummy Table'!$BR44)*($CX$4:$CX$147=$CY$4:$CY$147))</f>
        <v>142</v>
      </c>
      <c r="CB44" s="217">
        <f>SUMPRODUCT(($CZ$4:$CZ$147='Dummy Table'!$BR44)*($CX$4:$CX$147&gt;$CY$4:$CY$147))</f>
        <v>0</v>
      </c>
      <c r="CC44" s="217">
        <f>SUMIF($CZ$4:$CZ$147,'Dummy Table'!$BR44,$CY$4:$CY$147)</f>
        <v>0</v>
      </c>
      <c r="CD44" s="217">
        <f>SUMIF($CZ$4:$CZ$147,'Dummy Table'!$BR44,$CX$4:$CX$147)</f>
        <v>0</v>
      </c>
      <c r="CE44" s="217">
        <f t="shared" si="163"/>
        <v>0</v>
      </c>
      <c r="CF44" s="217" t="str">
        <f t="shared" si="164"/>
        <v/>
      </c>
      <c r="CG44" s="217">
        <f t="shared" si="165"/>
        <v>0</v>
      </c>
      <c r="CH44" s="217">
        <f t="shared" si="166"/>
        <v>284</v>
      </c>
      <c r="CI44" s="217">
        <f t="shared" si="167"/>
        <v>0</v>
      </c>
      <c r="CJ44" s="217">
        <f t="shared" si="168"/>
        <v>0</v>
      </c>
      <c r="CK44" s="217">
        <f t="shared" si="169"/>
        <v>0</v>
      </c>
      <c r="CL44" s="217">
        <f t="shared" si="170"/>
        <v>0</v>
      </c>
      <c r="CM44" s="217">
        <f t="shared" si="171"/>
        <v>-1</v>
      </c>
      <c r="CN44" s="210">
        <f t="shared" si="172"/>
        <v>7000</v>
      </c>
      <c r="CO44" s="210">
        <f>SUMIF($CZ$4:$CZ$147,'Dummy Table'!$BR44,$CY$4:$CY$147)*2</f>
        <v>0</v>
      </c>
      <c r="CP44" s="210">
        <f>RANK(CM44,CM$44:CM$47)</f>
        <v>1</v>
      </c>
      <c r="CR44" s="210">
        <f>SUMPRODUCT((CM$44:CM$47=CM44)*(CL$44:CL$47&gt;CL44))</f>
        <v>0</v>
      </c>
      <c r="CS44" s="210">
        <f>SUMPRODUCT((CP$44:CP$47=CP44)*(CR$44:CR$47=CR44)*(CO$44:CO$47&gt;CO44))</f>
        <v>0</v>
      </c>
      <c r="CT44" s="210">
        <f>IF(BR44&lt;&gt;"",SUMPRODUCT((CP$44:CP$47=CP44)*(CR$44:CR$47=CR44)*(CS$44:CS$47=CS44)*(V$44:V$47&gt;V44)),0)</f>
        <v>0</v>
      </c>
      <c r="CU44" s="210">
        <f>IF($BR44&lt;&gt;"",SUMPRODUCT((CP$44:CP$47=CP44)*(CR$44:CR$47=CR44)*(CS$44:CS$47=CS44)*(CT$44:CT$47=CT44)*(T$44:T$47&gt;T44)),0)</f>
        <v>0</v>
      </c>
      <c r="CV44" s="210">
        <f>SUMPRODUCT((CP$44:CP$47=CP44)*(CR$44:CR$47=CR44)*(CS$44:CS$47=CS44)*(CT$44:CT$47=CT44)*(CU$44:CU$47=CU44)*(CN$44:CN$47&gt;CN44))</f>
        <v>3</v>
      </c>
      <c r="CW44" s="209" t="str">
        <f>IF(AND(COUNTIF($BR$4:$BR$35,'Group Stages'!$G50)&gt;0,COUNTIF($BR$4:$BR$35,'Group Stages'!$M50)&gt;0),'Group Stages'!$G50,"")</f>
        <v/>
      </c>
      <c r="CX44" s="209" t="str">
        <f>IF($CW44&lt;&gt;"",'Group Stages'!$I50,"")</f>
        <v/>
      </c>
      <c r="CY44" s="209" t="str">
        <f>IF($CW44&lt;&gt;"",'Group Stages'!$K50,"")</f>
        <v/>
      </c>
      <c r="CZ44" s="209" t="str">
        <f>IF($CW44&lt;&gt;"",'Group Stages'!$M50,"")</f>
        <v/>
      </c>
      <c r="DA44" s="210" t="str">
        <f t="shared" si="173"/>
        <v/>
      </c>
      <c r="DB44" s="209" t="str">
        <f t="shared" si="174"/>
        <v/>
      </c>
      <c r="DC44" s="209">
        <v>1</v>
      </c>
      <c r="DD44" s="209" t="str">
        <f t="shared" si="175"/>
        <v>Sporting Braga</v>
      </c>
      <c r="DE44" s="209" t="str">
        <f t="shared" ref="DE44" si="202">IF(DD44="",DC44,"")</f>
        <v/>
      </c>
      <c r="DF44" s="209" t="str">
        <f>VLOOKUP(DE44,$BO$44:$BP$47,2,FALSE)</f>
        <v/>
      </c>
      <c r="DG44" s="209">
        <v>1</v>
      </c>
      <c r="DH44" s="209" t="str">
        <f t="shared" ref="DH44:DH45" si="203">IF(DD44="",DF44,DD44)</f>
        <v>Sporting Braga</v>
      </c>
      <c r="DI44" s="209">
        <v>41</v>
      </c>
    </row>
    <row r="45" spans="1:113">
      <c r="A45" s="209">
        <f t="shared" si="135"/>
        <v>2</v>
      </c>
      <c r="B45" s="209" t="str">
        <f>'Team Setup'!B46</f>
        <v>Wolverhampton Wanderers</v>
      </c>
      <c r="C45" s="210">
        <f>SUMPRODUCT(('Group Stages'!$I$10:$I$153&lt;&gt;"")*('Group Stages'!$K$10:$K$153&lt;&gt;"")*('Group Stages'!$G$10:$G$153='Dummy Table'!$B45)*('Group Stages'!$I$10:$I$153&gt;'Group Stages'!$K$10:$K$153))</f>
        <v>1</v>
      </c>
      <c r="D45" s="210">
        <f>SUMPRODUCT(('Group Stages'!$I$10:$I$153&lt;&gt;"")*('Group Stages'!$K$10:$K$153&lt;&gt;"")*('Group Stages'!$G$10:$G$153='Dummy Table'!$B45)*('Group Stages'!$I$10:$I$153='Group Stages'!$K$10:$K$153))</f>
        <v>0</v>
      </c>
      <c r="E45" s="210">
        <f>SUMPRODUCT(('Group Stages'!$I$10:$I$153&lt;&gt;"")*('Group Stages'!$K$10:$K$153&lt;&gt;"")*('Group Stages'!$G$10:$G$153='Dummy Table'!$B45)*('Group Stages'!$I$10:$I$153&lt;'Group Stages'!$K$10:$K$153))</f>
        <v>1</v>
      </c>
      <c r="F45" s="210">
        <f>SUMIF('Group Stages'!$G$10:$G$153,'Dummy Table'!$B45,'Group Stages'!$I$10:$I$153)</f>
        <v>0</v>
      </c>
      <c r="G45" s="210">
        <f>SUMIF('Group Stages'!$G$10:$G$153,'Dummy Table'!$B45,'Group Stages'!$K$10:$K$153)</f>
        <v>0</v>
      </c>
      <c r="H45" s="210">
        <f t="shared" si="136"/>
        <v>0</v>
      </c>
      <c r="I45" s="210">
        <f t="shared" si="137"/>
        <v>3</v>
      </c>
      <c r="J45" s="209">
        <f>SUMPRODUCT(('Group Stages'!$I$10:$I$153&lt;&gt;"")*('Group Stages'!$K$10:$K$153&lt;&gt;"")*('Group Stages'!$M$10:$M$153='Dummy Table'!$B45)*('Group Stages'!$I$10:$I$153&lt;'Group Stages'!$K$10:$K$153))</f>
        <v>2</v>
      </c>
      <c r="K45" s="209">
        <f>SUMPRODUCT(('Group Stages'!$I$10:$I$153&lt;&gt;"")*('Group Stages'!$K$10:$K$153&lt;&gt;"")*('Group Stages'!$M$10:$M$153='Dummy Table'!$B45)*('Group Stages'!$I$10:$I$153='Group Stages'!$K$10:$K$153))</f>
        <v>0</v>
      </c>
      <c r="L45" s="209">
        <f>SUMPRODUCT(('Group Stages'!$I$10:$I$153&lt;&gt;"")*('Group Stages'!$K$10:$K$153&lt;&gt;"")*('Group Stages'!$M$10:$M$153='Dummy Table'!$B45)*('Group Stages'!$I$10:$I$153&gt;'Group Stages'!$K$10:$K$153))</f>
        <v>0</v>
      </c>
      <c r="M45" s="209">
        <f>SUMIF('Group Stages'!$M$10:$M$153,'Dummy Table'!$B45,'Group Stages'!$K$10:$K$153)</f>
        <v>0</v>
      </c>
      <c r="N45" s="209">
        <f>SUMIF('Group Stages'!$M$10:$M$153,'Dummy Table'!$B45,'Group Stages'!$I$10:$I$153)</f>
        <v>0</v>
      </c>
      <c r="O45" s="209">
        <f t="shared" si="138"/>
        <v>0</v>
      </c>
      <c r="P45" s="209">
        <f t="shared" si="139"/>
        <v>6</v>
      </c>
      <c r="Q45" s="209">
        <f t="shared" si="140"/>
        <v>3</v>
      </c>
      <c r="R45" s="209">
        <f t="shared" si="141"/>
        <v>0</v>
      </c>
      <c r="S45" s="209">
        <f t="shared" si="142"/>
        <v>1</v>
      </c>
      <c r="T45" s="209">
        <f t="shared" si="143"/>
        <v>0</v>
      </c>
      <c r="U45" s="209">
        <f t="shared" si="144"/>
        <v>0</v>
      </c>
      <c r="V45" s="209">
        <f t="shared" si="145"/>
        <v>0</v>
      </c>
      <c r="W45" s="209">
        <f t="shared" si="146"/>
        <v>9</v>
      </c>
      <c r="X45" s="210">
        <f>IF('Team Setup'!F46&lt;&gt;"",'Team Setup'!F46,DI45)</f>
        <v>16235</v>
      </c>
      <c r="Y45" s="210">
        <f>RANK(W45,W$44:W$47)</f>
        <v>2</v>
      </c>
      <c r="Z45" s="210">
        <f>SUMPRODUCT((W$44:W$47=W45)*(V$44:V$47&gt;V45))</f>
        <v>0</v>
      </c>
      <c r="AA45" s="210">
        <f>SUMPRODUCT((Y$44:Y$47=Y45)*(Z$44:Z$47=Z45)*(T$44:T$47&gt;T45))</f>
        <v>0</v>
      </c>
      <c r="AB45" s="210">
        <f>SUMPRODUCT((Y$44:Y$47=Y45)*(Z$44:Z$47=Z45)*(T$44:T$47=T45)*(X$44:X$47&gt;X45))</f>
        <v>0</v>
      </c>
      <c r="AC45" s="209">
        <v>2</v>
      </c>
      <c r="AD45" s="209" t="str">
        <f>VLOOKUP(AC45,$A$44:$B$47,2,FALSE)</f>
        <v>Wolverhampton Wanderers</v>
      </c>
      <c r="AE45" s="209">
        <f>VLOOKUP($AD45,$B$44:$W$47,22,FALSE)</f>
        <v>9</v>
      </c>
      <c r="AF45" s="209" t="str">
        <f t="shared" ref="AF45" si="204">IF(OR(AE45=AE44,AE45=AE46),AD45,"")</f>
        <v/>
      </c>
      <c r="AG45" s="210">
        <f>SUMPRODUCT(($BK$4:$BK$147='Dummy Table'!$AF45)*($BL$4:$BL$147&gt;$BM$4:$BM$147))</f>
        <v>0</v>
      </c>
      <c r="AH45" s="210">
        <f>SUMPRODUCT(($BK$4:$BK$147='Dummy Table'!$AF45)*($BL$4:$BL$147=$BM$4:$BM$147))</f>
        <v>134</v>
      </c>
      <c r="AI45" s="210">
        <f>SUMPRODUCT(($BK$4:$BK$147='Dummy Table'!$AF45)*($BL$4:$BL$147&lt;$BM$4:$BM$147))</f>
        <v>0</v>
      </c>
      <c r="AJ45" s="210">
        <f>SUMIF($BK$4:$BK$147,'Dummy Table'!$AF45,$BL$4:$BL$147)</f>
        <v>0</v>
      </c>
      <c r="AK45" s="210">
        <f>SUMIF($BK$4:$BK$147,'Dummy Table'!$AF45,$BM$4:$BM$147)</f>
        <v>0</v>
      </c>
      <c r="AL45" s="210">
        <f t="shared" si="148"/>
        <v>0</v>
      </c>
      <c r="AM45" s="210" t="str">
        <f t="shared" si="149"/>
        <v/>
      </c>
      <c r="AN45" s="210">
        <f>SUMPRODUCT(($BN$4:$BN$147='Dummy Table'!$AF45)*($BL$4:$BL$147&lt;$BM$4:$BM$147))</f>
        <v>0</v>
      </c>
      <c r="AO45" s="210">
        <f>SUMPRODUCT(($BN$4:$BN$147='Dummy Table'!$AF45)*($BL$4:$BL$147=$BM$4:$BM$147))</f>
        <v>134</v>
      </c>
      <c r="AP45" s="210">
        <f>SUMPRODUCT(($BN$4:$BN$147='Dummy Table'!$AF45)*($BL$4:$BL$147&gt;$BM$4:$BM$147))</f>
        <v>0</v>
      </c>
      <c r="AQ45" s="210">
        <f>SUMIF($BN$4:$BN$147,'Dummy Table'!$AF45,$BM$4:$BM$147)</f>
        <v>0</v>
      </c>
      <c r="AR45" s="210">
        <f>SUMIF($BN$4:$BN$147,'Dummy Table'!$AF45,$BL$4:$BL$147)</f>
        <v>0</v>
      </c>
      <c r="AS45" s="210">
        <f t="shared" si="150"/>
        <v>0</v>
      </c>
      <c r="AT45" s="210" t="str">
        <f t="shared" si="151"/>
        <v/>
      </c>
      <c r="AU45" s="210">
        <f t="shared" si="152"/>
        <v>0</v>
      </c>
      <c r="AV45" s="210">
        <f t="shared" si="153"/>
        <v>268</v>
      </c>
      <c r="AW45" s="210">
        <f t="shared" si="154"/>
        <v>0</v>
      </c>
      <c r="AX45" s="210">
        <f t="shared" si="155"/>
        <v>0</v>
      </c>
      <c r="AY45" s="210">
        <f t="shared" si="156"/>
        <v>0</v>
      </c>
      <c r="AZ45" s="210">
        <f t="shared" si="157"/>
        <v>0</v>
      </c>
      <c r="BA45" s="210">
        <f t="shared" si="158"/>
        <v>-1</v>
      </c>
      <c r="BB45" s="209" t="str">
        <f t="shared" si="2"/>
        <v/>
      </c>
      <c r="BC45" s="209" t="str">
        <f t="shared" si="3"/>
        <v/>
      </c>
      <c r="BD45" s="209" t="str">
        <f t="shared" si="4"/>
        <v/>
      </c>
      <c r="BE45" s="209">
        <f>RANK(BA45,BA$44:BA$47)</f>
        <v>1</v>
      </c>
      <c r="BF45" s="209">
        <f>SUMPRODUCT((BA$44:BA$47=BA45)*(AZ$44:AZ$47&gt;AZ45))</f>
        <v>0</v>
      </c>
      <c r="BG45" s="209">
        <f>SUMPRODUCT((BA$44:BA$47=BA45)*(BE$44:BE$47=BE45)*(AZ$44:AZ$47=AZ45)*(AQ$44:AQ$47&gt;AQ45))</f>
        <v>0</v>
      </c>
      <c r="BH45" s="209">
        <f>SUMPRODUCT((BA$44:BA$47=BA45)*(BE$44:BE$47=BE45)*(AZ$44:AZ$47=AZ45)*(AQ$44:AQ$47=AQ45)*(BB$44:BB$47&gt;BB45))</f>
        <v>0</v>
      </c>
      <c r="BI45" s="209">
        <f>SUMPRODUCT((BA$44:BA$47=BA45)*(BE$44:BE$47=BE45)*(AZ$44:AZ$47=AZ45)*(AQ$44:AQ$47=AQ45)*(BB$44:BB$47=BB45)*(BC$44:BC$47&gt;BC45))</f>
        <v>0</v>
      </c>
      <c r="BJ45" s="209">
        <f>SUMPRODUCT((BA$44:BA$47=BA45)*(BE$44:BE$47=BE45)*(AZ$44:AZ$47=AZ45)*(AQ$44:AQ$47=AQ45)*(BB$44:BB$47=BB45)*(BC$44:BC$47=BC45)*(BD$44:BD$47&gt;BD45))</f>
        <v>0</v>
      </c>
      <c r="BK45" s="209" t="str">
        <f>IF(AND(COUNTIF($AF$4:$AF$35,'Group Stages'!G51)&gt;0,COUNTIF($AF$4:$AF$35,'Group Stages'!M51)&gt;0,'Group Stages'!I51&lt;&gt;"",'Group Stages'!K51&lt;&gt;""),'Group Stages'!G51,"")</f>
        <v/>
      </c>
      <c r="BL45" s="209" t="str">
        <f>IF($BK45&lt;&gt;"",'Group Stages'!I51,"")</f>
        <v/>
      </c>
      <c r="BM45" s="209" t="str">
        <f>IF($BK45&lt;&gt;"",'Group Stages'!K51,"")</f>
        <v/>
      </c>
      <c r="BN45" s="209" t="str">
        <f>IF($BK45&lt;&gt;"",'Group Stages'!M51,"")</f>
        <v/>
      </c>
      <c r="BO45" s="209" t="str">
        <f t="shared" si="159"/>
        <v/>
      </c>
      <c r="BP45" s="209" t="str">
        <f t="shared" si="160"/>
        <v/>
      </c>
      <c r="BQ45" s="209">
        <f>VLOOKUP($AD45,$B$44:$W$47,22,FALSE)</f>
        <v>9</v>
      </c>
      <c r="BS45" s="217">
        <f>SUMPRODUCT(($CW$4:$CW$147='Dummy Table'!$BR45)*($CX$4:$CX$147&gt;$CY$4:$CY$147))</f>
        <v>0</v>
      </c>
      <c r="BT45" s="217">
        <f>SUMPRODUCT(($CW$4:$CW$147='Dummy Table'!$BR45)*($CX$4:$CX$147=$CY$4:$CY$147))</f>
        <v>142</v>
      </c>
      <c r="BU45" s="217">
        <f>SUMPRODUCT(($CW$4:$CW$147='Dummy Table'!$BR45)*($CX$4:$CX$147&lt;$CY$4:$CY$147))</f>
        <v>0</v>
      </c>
      <c r="BV45" s="217">
        <f>SUMIF($CW$4:$CW$147,'Dummy Table'!$BR45,$CX$4:$CX$147)</f>
        <v>0</v>
      </c>
      <c r="BW45" s="217">
        <f>SUMIF($CW$4:$CW$147,'Dummy Table'!$BR45,$CY$4:$CY$147)</f>
        <v>0</v>
      </c>
      <c r="BX45" s="217">
        <f t="shared" si="161"/>
        <v>0</v>
      </c>
      <c r="BY45" s="217" t="str">
        <f t="shared" si="162"/>
        <v/>
      </c>
      <c r="BZ45" s="217">
        <f>SUMPRODUCT(($CZ$4:$CZ$147='Dummy Table'!$BR45)*($CX$4:$CX$147&lt;$CY$4:$CY$147))</f>
        <v>0</v>
      </c>
      <c r="CA45" s="217">
        <f>SUMPRODUCT(($CZ$4:$CZ$147='Dummy Table'!$BR45)*($CX$4:$CX$147=$CY$4:$CY$147))</f>
        <v>142</v>
      </c>
      <c r="CB45" s="217">
        <f>SUMPRODUCT(($CZ$4:$CZ$147='Dummy Table'!$BR45)*($CX$4:$CX$147&gt;$CY$4:$CY$147))</f>
        <v>0</v>
      </c>
      <c r="CC45" s="217">
        <f>SUMIF($CZ$4:$CZ$147,'Dummy Table'!$BR45,$CY$4:$CY$147)</f>
        <v>0</v>
      </c>
      <c r="CD45" s="217">
        <f>SUMIF($CZ$4:$CZ$147,'Dummy Table'!$BR45,$CX$4:$CX$147)</f>
        <v>0</v>
      </c>
      <c r="CE45" s="217">
        <f t="shared" si="163"/>
        <v>0</v>
      </c>
      <c r="CF45" s="217" t="str">
        <f t="shared" si="164"/>
        <v/>
      </c>
      <c r="CG45" s="217">
        <f t="shared" si="165"/>
        <v>0</v>
      </c>
      <c r="CH45" s="217">
        <f t="shared" si="166"/>
        <v>284</v>
      </c>
      <c r="CI45" s="217">
        <f t="shared" si="167"/>
        <v>0</v>
      </c>
      <c r="CJ45" s="217">
        <f t="shared" si="168"/>
        <v>0</v>
      </c>
      <c r="CK45" s="217">
        <f t="shared" si="169"/>
        <v>0</v>
      </c>
      <c r="CL45" s="217">
        <f t="shared" si="170"/>
        <v>0</v>
      </c>
      <c r="CM45" s="217">
        <f t="shared" si="171"/>
        <v>-1</v>
      </c>
      <c r="CN45" s="210">
        <f t="shared" si="172"/>
        <v>16235</v>
      </c>
      <c r="CO45" s="210">
        <f>SUMIF($CZ$4:$CZ$147,'Dummy Table'!$BR45,$CY$4:$CY$147)*2</f>
        <v>0</v>
      </c>
      <c r="CP45" s="210">
        <f>RANK(CM45,CM$44:CM$47)</f>
        <v>1</v>
      </c>
      <c r="CR45" s="210">
        <f>SUMPRODUCT((CM$44:CM$47=CM45)*(CL$44:CL$47&gt;CL45))</f>
        <v>0</v>
      </c>
      <c r="CS45" s="210">
        <f>SUMPRODUCT((CP$44:CP$47=CP45)*(CR$44:CR$47=CR45)*(CO$44:CO$47&gt;CO45))</f>
        <v>0</v>
      </c>
      <c r="CT45" s="210">
        <f>IF(BR45&lt;&gt;"",SUMPRODUCT((CP$44:CP$47=CP45)*(CR$44:CR$47=CR45)*(CS$44:CS$47=CS45)*(V$44:V$47&gt;V45)),0)</f>
        <v>0</v>
      </c>
      <c r="CU45" s="210">
        <f>IF($BR45&lt;&gt;"",SUMPRODUCT((CP$44:CP$47=CP45)*(CR$44:CR$47=CR45)*(CS$44:CS$47=CS45)*(CT$44:CT$47=CT45)*(T$44:T$47&gt;T45)),0)</f>
        <v>0</v>
      </c>
      <c r="CV45" s="210">
        <f>SUMPRODUCT((CP$44:CP$47=CP45)*(CR$44:CR$47=CR45)*(CS$44:CS$47=CS45)*(CT$44:CT$47=CT45)*(CU$44:CU$47=CU45)*(CN$44:CN$47&gt;CN45))</f>
        <v>2</v>
      </c>
      <c r="CW45" s="209" t="str">
        <f>IF(AND(COUNTIF($BR$4:$BR$35,'Group Stages'!$G51)&gt;0,COUNTIF($BR$4:$BR$35,'Group Stages'!$M51)&gt;0),'Group Stages'!$G51,"")</f>
        <v/>
      </c>
      <c r="CX45" s="209" t="str">
        <f>IF($CW45&lt;&gt;"",'Group Stages'!$I51,"")</f>
        <v/>
      </c>
      <c r="CY45" s="209" t="str">
        <f>IF($CW45&lt;&gt;"",'Group Stages'!$K51,"")</f>
        <v/>
      </c>
      <c r="CZ45" s="209" t="str">
        <f>IF($CW45&lt;&gt;"",'Group Stages'!$M51,"")</f>
        <v/>
      </c>
      <c r="DA45" s="210" t="str">
        <f t="shared" si="173"/>
        <v/>
      </c>
      <c r="DB45" s="209" t="str">
        <f t="shared" si="174"/>
        <v/>
      </c>
      <c r="DC45" s="209">
        <v>2</v>
      </c>
      <c r="DD45" s="209" t="str">
        <f t="shared" si="175"/>
        <v>Wolverhampton Wanderers</v>
      </c>
      <c r="DE45" s="209" t="str">
        <f t="shared" ref="DE45" si="205">IF(AND(DD45="",DD44=""),DC45,IF(AND(DD44&lt;&gt;"",DD45=""),1,""))</f>
        <v/>
      </c>
      <c r="DF45" s="209" t="str">
        <f>VLOOKUP(DE45,$BO$44:$BP$47,2,FALSE)</f>
        <v/>
      </c>
      <c r="DG45" s="209">
        <v>2</v>
      </c>
      <c r="DH45" s="209" t="str">
        <f t="shared" si="203"/>
        <v>Wolverhampton Wanderers</v>
      </c>
      <c r="DI45" s="209">
        <v>42</v>
      </c>
    </row>
    <row r="46" spans="1:113">
      <c r="A46" s="209">
        <f t="shared" si="135"/>
        <v>4</v>
      </c>
      <c r="B46" s="209" t="str">
        <f>'Team Setup'!B47</f>
        <v>Beşiktaş</v>
      </c>
      <c r="C46" s="210">
        <f>SUMPRODUCT(('Group Stages'!$I$10:$I$153&lt;&gt;"")*('Group Stages'!$K$10:$K$153&lt;&gt;"")*('Group Stages'!$G$10:$G$153='Dummy Table'!$B46)*('Group Stages'!$I$10:$I$153&gt;'Group Stages'!$K$10:$K$153))</f>
        <v>0</v>
      </c>
      <c r="D46" s="210">
        <f>SUMPRODUCT(('Group Stages'!$I$10:$I$153&lt;&gt;"")*('Group Stages'!$K$10:$K$153&lt;&gt;"")*('Group Stages'!$G$10:$G$153='Dummy Table'!$B46)*('Group Stages'!$I$10:$I$153='Group Stages'!$K$10:$K$153))</f>
        <v>0</v>
      </c>
      <c r="E46" s="210">
        <f>SUMPRODUCT(('Group Stages'!$I$10:$I$153&lt;&gt;"")*('Group Stages'!$K$10:$K$153&lt;&gt;"")*('Group Stages'!$G$10:$G$153='Dummy Table'!$B46)*('Group Stages'!$I$10:$I$153&lt;'Group Stages'!$K$10:$K$153))</f>
        <v>2</v>
      </c>
      <c r="F46" s="210">
        <f>SUMIF('Group Stages'!$G$10:$G$153,'Dummy Table'!$B46,'Group Stages'!$I$10:$I$153)</f>
        <v>0</v>
      </c>
      <c r="G46" s="210">
        <f>SUMIF('Group Stages'!$G$10:$G$153,'Dummy Table'!$B46,'Group Stages'!$K$10:$K$153)</f>
        <v>0</v>
      </c>
      <c r="H46" s="210">
        <f t="shared" si="136"/>
        <v>0</v>
      </c>
      <c r="I46" s="210">
        <f t="shared" si="137"/>
        <v>0</v>
      </c>
      <c r="J46" s="209">
        <f>SUMPRODUCT(('Group Stages'!$I$10:$I$153&lt;&gt;"")*('Group Stages'!$K$10:$K$153&lt;&gt;"")*('Group Stages'!$M$10:$M$153='Dummy Table'!$B46)*('Group Stages'!$I$10:$I$153&lt;'Group Stages'!$K$10:$K$153))</f>
        <v>0</v>
      </c>
      <c r="K46" s="209">
        <f>SUMPRODUCT(('Group Stages'!$I$10:$I$153&lt;&gt;"")*('Group Stages'!$K$10:$K$153&lt;&gt;"")*('Group Stages'!$M$10:$M$153='Dummy Table'!$B46)*('Group Stages'!$I$10:$I$153='Group Stages'!$K$10:$K$153))</f>
        <v>0</v>
      </c>
      <c r="L46" s="209">
        <f>SUMPRODUCT(('Group Stages'!$I$10:$I$153&lt;&gt;"")*('Group Stages'!$K$10:$K$153&lt;&gt;"")*('Group Stages'!$M$10:$M$153='Dummy Table'!$B46)*('Group Stages'!$I$10:$I$153&gt;'Group Stages'!$K$10:$K$153))</f>
        <v>2</v>
      </c>
      <c r="M46" s="209">
        <f>SUMIF('Group Stages'!$M$10:$M$153,'Dummy Table'!$B46,'Group Stages'!$K$10:$K$153)</f>
        <v>0</v>
      </c>
      <c r="N46" s="209">
        <f>SUMIF('Group Stages'!$M$10:$M$153,'Dummy Table'!$B46,'Group Stages'!$I$10:$I$153)</f>
        <v>0</v>
      </c>
      <c r="O46" s="209">
        <f t="shared" si="138"/>
        <v>0</v>
      </c>
      <c r="P46" s="209">
        <f t="shared" si="139"/>
        <v>0</v>
      </c>
      <c r="Q46" s="209">
        <f t="shared" si="140"/>
        <v>0</v>
      </c>
      <c r="R46" s="209">
        <f t="shared" si="141"/>
        <v>0</v>
      </c>
      <c r="S46" s="209">
        <f t="shared" si="142"/>
        <v>4</v>
      </c>
      <c r="T46" s="209">
        <f t="shared" si="143"/>
        <v>0</v>
      </c>
      <c r="U46" s="209">
        <f t="shared" si="144"/>
        <v>0</v>
      </c>
      <c r="V46" s="209">
        <f t="shared" si="145"/>
        <v>0</v>
      </c>
      <c r="W46" s="209">
        <f t="shared" si="146"/>
        <v>0</v>
      </c>
      <c r="X46" s="210">
        <f>IF('Team Setup'!F47&lt;&gt;"",'Team Setup'!F47,DI46)</f>
        <v>51000</v>
      </c>
      <c r="Y46" s="210">
        <f>RANK(W46,W$44:W$47)</f>
        <v>4</v>
      </c>
      <c r="Z46" s="210">
        <f>SUMPRODUCT((W$44:W$47=W46)*(V$44:V$47&gt;V46))</f>
        <v>0</v>
      </c>
      <c r="AA46" s="210">
        <f>SUMPRODUCT((Y$44:Y$47=Y46)*(Z$44:Z$47=Z46)*(T$44:T$47&gt;T46))</f>
        <v>0</v>
      </c>
      <c r="AB46" s="210">
        <f>SUMPRODUCT((Y$44:Y$47=Y46)*(Z$44:Z$47=Z46)*(T$44:T$47=T46)*(X$44:X$47&gt;X46))</f>
        <v>0</v>
      </c>
      <c r="AC46" s="209">
        <v>3</v>
      </c>
      <c r="AD46" s="209" t="str">
        <f>VLOOKUP(AC46,$A$44:$B$47,2,FALSE)</f>
        <v>Slovan Bratislava</v>
      </c>
      <c r="AE46" s="209">
        <f>VLOOKUP($AD46,$B$44:$W$47,22,FALSE)</f>
        <v>4</v>
      </c>
      <c r="AF46" s="209" t="str">
        <f t="shared" ref="AF46" si="206">IF(AE46=AE45,AD46,"")</f>
        <v/>
      </c>
      <c r="AG46" s="210">
        <f>SUMPRODUCT(($BK$4:$BK$147='Dummy Table'!$AF46)*($BL$4:$BL$147&gt;$BM$4:$BM$147))</f>
        <v>0</v>
      </c>
      <c r="AH46" s="210">
        <f>SUMPRODUCT(($BK$4:$BK$147='Dummy Table'!$AF46)*($BL$4:$BL$147=$BM$4:$BM$147))</f>
        <v>134</v>
      </c>
      <c r="AI46" s="210">
        <f>SUMPRODUCT(($BK$4:$BK$147='Dummy Table'!$AF46)*($BL$4:$BL$147&lt;$BM$4:$BM$147))</f>
        <v>0</v>
      </c>
      <c r="AJ46" s="210">
        <f>SUMIF($BK$4:$BK$147,'Dummy Table'!$AF46,$BL$4:$BL$147)</f>
        <v>0</v>
      </c>
      <c r="AK46" s="210">
        <f>SUMIF($BK$4:$BK$147,'Dummy Table'!$AF46,$BM$4:$BM$147)</f>
        <v>0</v>
      </c>
      <c r="AL46" s="210">
        <f t="shared" si="148"/>
        <v>0</v>
      </c>
      <c r="AM46" s="210" t="str">
        <f t="shared" si="149"/>
        <v/>
      </c>
      <c r="AN46" s="210">
        <f>SUMPRODUCT(($BN$4:$BN$147='Dummy Table'!$AF46)*($BL$4:$BL$147&lt;$BM$4:$BM$147))</f>
        <v>0</v>
      </c>
      <c r="AO46" s="210">
        <f>SUMPRODUCT(($BN$4:$BN$147='Dummy Table'!$AF46)*($BL$4:$BL$147=$BM$4:$BM$147))</f>
        <v>134</v>
      </c>
      <c r="AP46" s="210">
        <f>SUMPRODUCT(($BN$4:$BN$147='Dummy Table'!$AF46)*($BL$4:$BL$147&gt;$BM$4:$BM$147))</f>
        <v>0</v>
      </c>
      <c r="AQ46" s="210">
        <f>SUMIF($BN$4:$BN$147,'Dummy Table'!$AF46,$BM$4:$BM$147)</f>
        <v>0</v>
      </c>
      <c r="AR46" s="210">
        <f>SUMIF($BN$4:$BN$147,'Dummy Table'!$AF46,$BL$4:$BL$147)</f>
        <v>0</v>
      </c>
      <c r="AS46" s="210">
        <f t="shared" si="150"/>
        <v>0</v>
      </c>
      <c r="AT46" s="210" t="str">
        <f t="shared" si="151"/>
        <v/>
      </c>
      <c r="AU46" s="210">
        <f t="shared" si="152"/>
        <v>0</v>
      </c>
      <c r="AV46" s="210">
        <f t="shared" si="153"/>
        <v>268</v>
      </c>
      <c r="AW46" s="210">
        <f t="shared" si="154"/>
        <v>0</v>
      </c>
      <c r="AX46" s="210">
        <f t="shared" si="155"/>
        <v>0</v>
      </c>
      <c r="AY46" s="210">
        <f t="shared" si="156"/>
        <v>0</v>
      </c>
      <c r="AZ46" s="210">
        <f t="shared" si="157"/>
        <v>0</v>
      </c>
      <c r="BA46" s="210">
        <f t="shared" si="158"/>
        <v>-1</v>
      </c>
      <c r="BB46" s="209" t="str">
        <f t="shared" si="2"/>
        <v/>
      </c>
      <c r="BC46" s="209" t="str">
        <f t="shared" si="3"/>
        <v/>
      </c>
      <c r="BD46" s="209" t="str">
        <f t="shared" si="4"/>
        <v/>
      </c>
      <c r="BE46" s="209">
        <f>RANK(BA46,BA$44:BA$47)</f>
        <v>1</v>
      </c>
      <c r="BF46" s="209">
        <f>SUMPRODUCT((BA$44:BA$47=BA46)*(AZ$44:AZ$47&gt;AZ46))</f>
        <v>0</v>
      </c>
      <c r="BG46" s="209">
        <f>SUMPRODUCT((BA$44:BA$47=BA46)*(BE$44:BE$47=BE46)*(AZ$44:AZ$47=AZ46)*(AQ$44:AQ$47&gt;AQ46))</f>
        <v>0</v>
      </c>
      <c r="BH46" s="209">
        <f>SUMPRODUCT((BA$44:BA$47=BA46)*(BE$44:BE$47=BE46)*(AZ$44:AZ$47=AZ46)*(AQ$44:AQ$47=AQ46)*(BB$44:BB$47&gt;BB46))</f>
        <v>0</v>
      </c>
      <c r="BI46" s="209">
        <f>SUMPRODUCT((BA$44:BA$47=BA46)*(BE$44:BE$47=BE46)*(AZ$44:AZ$47=AZ46)*(AQ$44:AQ$47=AQ46)*(BB$44:BB$47=BB46)*(BC$44:BC$47&gt;BC46))</f>
        <v>0</v>
      </c>
      <c r="BJ46" s="209">
        <f>SUMPRODUCT((BA$44:BA$47=BA46)*(BE$44:BE$47=BE46)*(AZ$44:AZ$47=AZ46)*(AQ$44:AQ$47=AQ46)*(BB$44:BB$47=BB46)*(BC$44:BC$47=BC46)*(BD$44:BD$47&gt;BD46))</f>
        <v>0</v>
      </c>
      <c r="BK46" s="209" t="str">
        <f>IF(AND(COUNTIF($AF$4:$AF$35,'Group Stages'!G52)&gt;0,COUNTIF($AF$4:$AF$35,'Group Stages'!M52)&gt;0,'Group Stages'!I52&lt;&gt;"",'Group Stages'!K52&lt;&gt;""),'Group Stages'!G52,"")</f>
        <v/>
      </c>
      <c r="BL46" s="209" t="str">
        <f>IF($BK46&lt;&gt;"",'Group Stages'!I52,"")</f>
        <v/>
      </c>
      <c r="BM46" s="209" t="str">
        <f>IF($BK46&lt;&gt;"",'Group Stages'!K52,"")</f>
        <v/>
      </c>
      <c r="BN46" s="209" t="str">
        <f>IF($BK46&lt;&gt;"",'Group Stages'!M52,"")</f>
        <v/>
      </c>
      <c r="BO46" s="209" t="str">
        <f t="shared" si="159"/>
        <v/>
      </c>
      <c r="BP46" s="209" t="str">
        <f t="shared" si="160"/>
        <v/>
      </c>
      <c r="BQ46" s="209">
        <f>VLOOKUP($AD46,$B$44:$W$47,22,FALSE)</f>
        <v>4</v>
      </c>
      <c r="BR46" s="209" t="str">
        <f t="shared" ref="BR46" si="207">IF(AND(BQ46&lt;&gt;BQ45,BQ46=BQ47),AD46,"")</f>
        <v/>
      </c>
      <c r="BS46" s="217">
        <f>SUMPRODUCT(($CW$4:$CW$147='Dummy Table'!$BR46)*($CX$4:$CX$147&gt;$CY$4:$CY$147))</f>
        <v>0</v>
      </c>
      <c r="BT46" s="217">
        <f>SUMPRODUCT(($CW$4:$CW$147='Dummy Table'!$BR46)*($CX$4:$CX$147=$CY$4:$CY$147))</f>
        <v>142</v>
      </c>
      <c r="BU46" s="217">
        <f>SUMPRODUCT(($CW$4:$CW$147='Dummy Table'!$BR46)*($CX$4:$CX$147&lt;$CY$4:$CY$147))</f>
        <v>0</v>
      </c>
      <c r="BV46" s="217">
        <f>SUMIF($CW$4:$CW$147,'Dummy Table'!$BR46,$CX$4:$CX$147)</f>
        <v>0</v>
      </c>
      <c r="BW46" s="217">
        <f>SUMIF($CW$4:$CW$147,'Dummy Table'!$BR46,$CY$4:$CY$147)</f>
        <v>0</v>
      </c>
      <c r="BX46" s="217">
        <f t="shared" si="161"/>
        <v>0</v>
      </c>
      <c r="BY46" s="217" t="str">
        <f t="shared" si="162"/>
        <v/>
      </c>
      <c r="BZ46" s="217">
        <f>SUMPRODUCT(($CZ$4:$CZ$147='Dummy Table'!$BR46)*($CX$4:$CX$147&lt;$CY$4:$CY$147))</f>
        <v>0</v>
      </c>
      <c r="CA46" s="217">
        <f>SUMPRODUCT(($CZ$4:$CZ$147='Dummy Table'!$BR46)*($CX$4:$CX$147=$CY$4:$CY$147))</f>
        <v>142</v>
      </c>
      <c r="CB46" s="217">
        <f>SUMPRODUCT(($CZ$4:$CZ$147='Dummy Table'!$BR46)*($CX$4:$CX$147&gt;$CY$4:$CY$147))</f>
        <v>0</v>
      </c>
      <c r="CC46" s="217">
        <f>SUMIF($CZ$4:$CZ$147,'Dummy Table'!$BR46,$CY$4:$CY$147)</f>
        <v>0</v>
      </c>
      <c r="CD46" s="217">
        <f>SUMIF($CZ$4:$CZ$147,'Dummy Table'!$BR46,$CX$4:$CX$147)</f>
        <v>0</v>
      </c>
      <c r="CE46" s="217">
        <f t="shared" si="163"/>
        <v>0</v>
      </c>
      <c r="CF46" s="217" t="str">
        <f t="shared" si="164"/>
        <v/>
      </c>
      <c r="CG46" s="217">
        <f t="shared" si="165"/>
        <v>0</v>
      </c>
      <c r="CH46" s="217">
        <f t="shared" si="166"/>
        <v>284</v>
      </c>
      <c r="CI46" s="217">
        <f t="shared" si="167"/>
        <v>0</v>
      </c>
      <c r="CJ46" s="217">
        <f t="shared" si="168"/>
        <v>0</v>
      </c>
      <c r="CK46" s="217">
        <f t="shared" si="169"/>
        <v>0</v>
      </c>
      <c r="CL46" s="217">
        <f t="shared" si="170"/>
        <v>0</v>
      </c>
      <c r="CM46" s="217">
        <f t="shared" si="171"/>
        <v>-1</v>
      </c>
      <c r="CN46" s="210">
        <f t="shared" si="172"/>
        <v>51000</v>
      </c>
      <c r="CO46" s="210">
        <f>SUMIF($CZ$4:$CZ$147,'Dummy Table'!$BR46,$CY$4:$CY$147)*2</f>
        <v>0</v>
      </c>
      <c r="CP46" s="210">
        <f>RANK(CM46,CM$44:CM$47)</f>
        <v>1</v>
      </c>
      <c r="CR46" s="210">
        <f>SUMPRODUCT((CM$44:CM$47=CM46)*(CL$44:CL$47&gt;CL46))</f>
        <v>0</v>
      </c>
      <c r="CS46" s="210">
        <f>SUMPRODUCT((CP$44:CP$47=CP46)*(CR$44:CR$47=CR46)*(CO$44:CO$47&gt;CO46))</f>
        <v>0</v>
      </c>
      <c r="CT46" s="210">
        <f>IF(BR46&lt;&gt;"",SUMPRODUCT((CP$44:CP$47=CP46)*(CR$44:CR$47=CR46)*(CS$44:CS$47=CS46)*(V$44:V$47&gt;V46)),0)</f>
        <v>0</v>
      </c>
      <c r="CU46" s="210">
        <f>IF($BR46&lt;&gt;"",SUMPRODUCT((CP$44:CP$47=CP46)*(CR$44:CR$47=CR46)*(CS$44:CS$47=CS46)*(CT$44:CT$47=CT46)*(T$44:T$47&gt;T46)),0)</f>
        <v>0</v>
      </c>
      <c r="CV46" s="210">
        <f>SUMPRODUCT((CP$44:CP$47=CP46)*(CR$44:CR$47=CR46)*(CS$44:CS$47=CS46)*(CT$44:CT$47=CT46)*(CU$44:CU$47=CU46)*(CN$44:CN$47&gt;CN46))</f>
        <v>0</v>
      </c>
      <c r="CW46" s="209" t="str">
        <f>IF(AND(COUNTIF($BR$4:$BR$35,'Group Stages'!$G52)&gt;0,COUNTIF($BR$4:$BR$35,'Group Stages'!$M52)&gt;0),'Group Stages'!$G52,"")</f>
        <v/>
      </c>
      <c r="CX46" s="209" t="str">
        <f>IF($CW46&lt;&gt;"",'Group Stages'!$I52,"")</f>
        <v/>
      </c>
      <c r="CY46" s="209" t="str">
        <f>IF($CW46&lt;&gt;"",'Group Stages'!$K52,"")</f>
        <v/>
      </c>
      <c r="CZ46" s="209" t="str">
        <f>IF($CW46&lt;&gt;"",'Group Stages'!$M52,"")</f>
        <v/>
      </c>
      <c r="DA46" s="210" t="str">
        <f t="shared" si="173"/>
        <v/>
      </c>
      <c r="DB46" s="209" t="str">
        <f t="shared" si="174"/>
        <v/>
      </c>
      <c r="DC46" s="209">
        <v>3</v>
      </c>
      <c r="DD46" s="209" t="str">
        <f t="shared" si="175"/>
        <v>Slovan Bratislava</v>
      </c>
      <c r="DE46" s="209" t="str">
        <f t="shared" ref="DE46" si="208">IF(AND(DD46="",DD45="",DD44=""),DC46,IF(AND(DD44&lt;&gt;"",DD45="",DD46=""),2,IF(AND(DD44&lt;&gt;"",DD45&lt;&gt;"",DD46=""),1,"")))</f>
        <v/>
      </c>
      <c r="DF46" s="209" t="str">
        <f>VLOOKUP(DE46,$BO$44:$BP$47,2,FALSE)</f>
        <v/>
      </c>
      <c r="DG46" s="209">
        <v>3</v>
      </c>
      <c r="DH46" s="209" t="str">
        <f t="shared" ref="DH46" si="209">IF(DB46&lt;&gt;"",IF(DA46&lt;DA47,DB46,DB47),IF(DF46&lt;&gt;"",DF46,DD46))</f>
        <v>Slovan Bratislava</v>
      </c>
      <c r="DI46" s="209">
        <v>43</v>
      </c>
    </row>
    <row r="47" spans="1:113">
      <c r="A47" s="209">
        <f t="shared" si="135"/>
        <v>1</v>
      </c>
      <c r="B47" s="209" t="str">
        <f>'Team Setup'!B48</f>
        <v>Sporting Braga</v>
      </c>
      <c r="C47" s="210">
        <f>SUMPRODUCT(('Group Stages'!$I$10:$I$153&lt;&gt;"")*('Group Stages'!$K$10:$K$153&lt;&gt;"")*('Group Stages'!$G$10:$G$153='Dummy Table'!$B47)*('Group Stages'!$I$10:$I$153&gt;'Group Stages'!$K$10:$K$153))</f>
        <v>1</v>
      </c>
      <c r="D47" s="210">
        <f>SUMPRODUCT(('Group Stages'!$I$10:$I$153&lt;&gt;"")*('Group Stages'!$K$10:$K$153&lt;&gt;"")*('Group Stages'!$G$10:$G$153='Dummy Table'!$B47)*('Group Stages'!$I$10:$I$153='Group Stages'!$K$10:$K$153))</f>
        <v>1</v>
      </c>
      <c r="E47" s="210">
        <f>SUMPRODUCT(('Group Stages'!$I$10:$I$153&lt;&gt;"")*('Group Stages'!$K$10:$K$153&lt;&gt;"")*('Group Stages'!$G$10:$G$153='Dummy Table'!$B47)*('Group Stages'!$I$10:$I$153&lt;'Group Stages'!$K$10:$K$153))</f>
        <v>0</v>
      </c>
      <c r="F47" s="210">
        <f>SUMIF('Group Stages'!$G$10:$G$153,'Dummy Table'!$B47,'Group Stages'!$I$10:$I$153)</f>
        <v>0</v>
      </c>
      <c r="G47" s="210">
        <f>SUMIF('Group Stages'!$G$10:$G$153,'Dummy Table'!$B47,'Group Stages'!$K$10:$K$153)</f>
        <v>0</v>
      </c>
      <c r="H47" s="210">
        <f t="shared" si="136"/>
        <v>0</v>
      </c>
      <c r="I47" s="210">
        <f t="shared" si="137"/>
        <v>4</v>
      </c>
      <c r="J47" s="209">
        <f>SUMPRODUCT(('Group Stages'!$I$10:$I$153&lt;&gt;"")*('Group Stages'!$K$10:$K$153&lt;&gt;"")*('Group Stages'!$M$10:$M$153='Dummy Table'!$B47)*('Group Stages'!$I$10:$I$153&lt;'Group Stages'!$K$10:$K$153))</f>
        <v>2</v>
      </c>
      <c r="K47" s="209">
        <f>SUMPRODUCT(('Group Stages'!$I$10:$I$153&lt;&gt;"")*('Group Stages'!$K$10:$K$153&lt;&gt;"")*('Group Stages'!$M$10:$M$153='Dummy Table'!$B47)*('Group Stages'!$I$10:$I$153='Group Stages'!$K$10:$K$153))</f>
        <v>0</v>
      </c>
      <c r="L47" s="209">
        <f>SUMPRODUCT(('Group Stages'!$I$10:$I$153&lt;&gt;"")*('Group Stages'!$K$10:$K$153&lt;&gt;"")*('Group Stages'!$M$10:$M$153='Dummy Table'!$B47)*('Group Stages'!$I$10:$I$153&gt;'Group Stages'!$K$10:$K$153))</f>
        <v>0</v>
      </c>
      <c r="M47" s="209">
        <f>SUMIF('Group Stages'!$M$10:$M$153,'Dummy Table'!$B47,'Group Stages'!$K$10:$K$153)</f>
        <v>0</v>
      </c>
      <c r="N47" s="209">
        <f>SUMIF('Group Stages'!$M$10:$M$153,'Dummy Table'!$B47,'Group Stages'!$I$10:$I$153)</f>
        <v>0</v>
      </c>
      <c r="O47" s="209">
        <f t="shared" si="138"/>
        <v>0</v>
      </c>
      <c r="P47" s="209">
        <f t="shared" si="139"/>
        <v>6</v>
      </c>
      <c r="Q47" s="209">
        <f t="shared" si="140"/>
        <v>3</v>
      </c>
      <c r="R47" s="209">
        <f t="shared" si="141"/>
        <v>1</v>
      </c>
      <c r="S47" s="209">
        <f t="shared" si="142"/>
        <v>0</v>
      </c>
      <c r="T47" s="209">
        <f t="shared" si="143"/>
        <v>0</v>
      </c>
      <c r="U47" s="209">
        <f t="shared" si="144"/>
        <v>0</v>
      </c>
      <c r="V47" s="209">
        <f t="shared" si="145"/>
        <v>0</v>
      </c>
      <c r="W47" s="209">
        <f t="shared" si="146"/>
        <v>10</v>
      </c>
      <c r="X47" s="210">
        <f>IF('Team Setup'!F48&lt;&gt;"",'Team Setup'!F48,DI47)</f>
        <v>38000</v>
      </c>
      <c r="Y47" s="210">
        <f>RANK(W47,W$44:W$47)</f>
        <v>1</v>
      </c>
      <c r="Z47" s="210">
        <f>SUMPRODUCT((W$44:W$47=W47)*(V$44:V$47&gt;V47))</f>
        <v>0</v>
      </c>
      <c r="AA47" s="210">
        <f>SUMPRODUCT((Y$44:Y$47=Y47)*(Z$44:Z$47=Z47)*(T$44:T$47&gt;T47))</f>
        <v>0</v>
      </c>
      <c r="AB47" s="210">
        <f>SUMPRODUCT((Y$44:Y$47=Y47)*(Z$44:Z$47=Z47)*(T$44:T$47=T47)*(X$44:X$47&gt;X47))</f>
        <v>0</v>
      </c>
      <c r="AC47" s="209">
        <v>4</v>
      </c>
      <c r="AD47" s="209" t="str">
        <f>VLOOKUP(AC47,$A$44:$B$47,2,FALSE)</f>
        <v>Beşiktaş</v>
      </c>
      <c r="AE47" s="209">
        <f>VLOOKUP($AD47,$B$44:$W$47,22,FALSE)</f>
        <v>0</v>
      </c>
      <c r="AF47" s="209" t="str">
        <f t="shared" ref="AF47" si="210">IF(AND(AE47=AE46,AE46=AE45),AD47,"")</f>
        <v/>
      </c>
      <c r="AG47" s="210">
        <f>SUMPRODUCT(($BK$4:$BK$147='Dummy Table'!$AF47)*($BL$4:$BL$147&gt;$BM$4:$BM$147))</f>
        <v>0</v>
      </c>
      <c r="AH47" s="210">
        <f>SUMPRODUCT(($BK$4:$BK$147='Dummy Table'!$AF47)*($BL$4:$BL$147=$BM$4:$BM$147))</f>
        <v>134</v>
      </c>
      <c r="AI47" s="210">
        <f>SUMPRODUCT(($BK$4:$BK$147='Dummy Table'!$AF47)*($BL$4:$BL$147&lt;$BM$4:$BM$147))</f>
        <v>0</v>
      </c>
      <c r="AJ47" s="210">
        <f>SUMIF($BK$4:$BK$147,'Dummy Table'!$AF47,$BL$4:$BL$147)</f>
        <v>0</v>
      </c>
      <c r="AK47" s="210">
        <f>SUMIF($BK$4:$BK$147,'Dummy Table'!$AF47,$BM$4:$BM$147)</f>
        <v>0</v>
      </c>
      <c r="AL47" s="210">
        <f t="shared" si="148"/>
        <v>0</v>
      </c>
      <c r="AM47" s="210" t="str">
        <f t="shared" si="149"/>
        <v/>
      </c>
      <c r="AN47" s="210">
        <f>SUMPRODUCT(($BN$4:$BN$147='Dummy Table'!$AF47)*($BL$4:$BL$147&lt;$BM$4:$BM$147))</f>
        <v>0</v>
      </c>
      <c r="AO47" s="210">
        <f>SUMPRODUCT(($BN$4:$BN$147='Dummy Table'!$AF47)*($BL$4:$BL$147=$BM$4:$BM$147))</f>
        <v>134</v>
      </c>
      <c r="AP47" s="210">
        <f>SUMPRODUCT(($BN$4:$BN$147='Dummy Table'!$AF47)*($BL$4:$BL$147&gt;$BM$4:$BM$147))</f>
        <v>0</v>
      </c>
      <c r="AQ47" s="210">
        <f>SUMIF($BN$4:$BN$147,'Dummy Table'!$AF47,$BM$4:$BM$147)</f>
        <v>0</v>
      </c>
      <c r="AR47" s="210">
        <f>SUMIF($BN$4:$BN$147,'Dummy Table'!$AF47,$BL$4:$BL$147)</f>
        <v>0</v>
      </c>
      <c r="AS47" s="210">
        <f t="shared" si="150"/>
        <v>0</v>
      </c>
      <c r="AT47" s="210" t="str">
        <f t="shared" si="151"/>
        <v/>
      </c>
      <c r="AU47" s="210">
        <f t="shared" si="152"/>
        <v>0</v>
      </c>
      <c r="AV47" s="210">
        <f t="shared" si="153"/>
        <v>268</v>
      </c>
      <c r="AW47" s="210">
        <f t="shared" si="154"/>
        <v>0</v>
      </c>
      <c r="AX47" s="210">
        <f t="shared" si="155"/>
        <v>0</v>
      </c>
      <c r="AY47" s="210">
        <f t="shared" si="156"/>
        <v>0</v>
      </c>
      <c r="AZ47" s="210">
        <f t="shared" si="157"/>
        <v>0</v>
      </c>
      <c r="BA47" s="210">
        <f t="shared" si="158"/>
        <v>-1</v>
      </c>
      <c r="BB47" s="209" t="str">
        <f t="shared" si="2"/>
        <v/>
      </c>
      <c r="BC47" s="209" t="str">
        <f t="shared" si="3"/>
        <v/>
      </c>
      <c r="BD47" s="209" t="str">
        <f t="shared" si="4"/>
        <v/>
      </c>
      <c r="BE47" s="209">
        <f>RANK(BA47,BA$44:BA$47)</f>
        <v>1</v>
      </c>
      <c r="BF47" s="209">
        <f>SUMPRODUCT((BA$44:BA$47=BA47)*(AZ$44:AZ$47&gt;AZ47))</f>
        <v>0</v>
      </c>
      <c r="BG47" s="209">
        <f>SUMPRODUCT((BA$44:BA$47=BA47)*(BE$44:BE$47=BE47)*(AZ$44:AZ$47=AZ47)*(AQ$44:AQ$47&gt;AQ47))</f>
        <v>0</v>
      </c>
      <c r="BH47" s="209">
        <f>SUMPRODUCT((BA$44:BA$47=BA47)*(BE$44:BE$47=BE47)*(AZ$44:AZ$47=AZ47)*(AQ$44:AQ$47=AQ47)*(BB$44:BB$47&gt;BB47))</f>
        <v>0</v>
      </c>
      <c r="BI47" s="209">
        <f>SUMPRODUCT((BA$44:BA$47=BA47)*(BE$44:BE$47=BE47)*(AZ$44:AZ$47=AZ47)*(AQ$44:AQ$47=AQ47)*(BB$44:BB$47=BB47)*(BC$44:BC$47&gt;BC47))</f>
        <v>0</v>
      </c>
      <c r="BJ47" s="209">
        <f>SUMPRODUCT((BA$44:BA$47=BA47)*(BE$44:BE$47=BE47)*(AZ$44:AZ$47=AZ47)*(AQ$44:AQ$47=AQ47)*(BB$44:BB$47=BB47)*(BC$44:BC$47=BC47)*(BD$44:BD$47&gt;BD47))</f>
        <v>0</v>
      </c>
      <c r="BK47" s="209" t="str">
        <f>IF(AND(COUNTIF($AF$4:$AF$35,'Group Stages'!G53)&gt;0,COUNTIF($AF$4:$AF$35,'Group Stages'!M53)&gt;0,'Group Stages'!I53&lt;&gt;"",'Group Stages'!K53&lt;&gt;""),'Group Stages'!G53,"")</f>
        <v/>
      </c>
      <c r="BL47" s="209" t="str">
        <f>IF($BK47&lt;&gt;"",'Group Stages'!I53,"")</f>
        <v/>
      </c>
      <c r="BM47" s="209" t="str">
        <f>IF($BK47&lt;&gt;"",'Group Stages'!K53,"")</f>
        <v/>
      </c>
      <c r="BN47" s="209" t="str">
        <f>IF($BK47&lt;&gt;"",'Group Stages'!M53,"")</f>
        <v/>
      </c>
      <c r="BO47" s="209" t="str">
        <f t="shared" si="159"/>
        <v/>
      </c>
      <c r="BP47" s="209" t="str">
        <f t="shared" si="160"/>
        <v/>
      </c>
      <c r="BQ47" s="209">
        <f>VLOOKUP($AD47,$B$44:$W$47,22,FALSE)</f>
        <v>0</v>
      </c>
      <c r="BR47" s="209" t="str">
        <f t="shared" ref="BR47" si="211">IF(BR46&lt;&gt;"",AD47,"")</f>
        <v/>
      </c>
      <c r="BS47" s="217">
        <f>SUMPRODUCT(($CW$4:$CW$147='Dummy Table'!$BR47)*($CX$4:$CX$147&gt;$CY$4:$CY$147))</f>
        <v>0</v>
      </c>
      <c r="BT47" s="217">
        <f>SUMPRODUCT(($CW$4:$CW$147='Dummy Table'!$BR47)*($CX$4:$CX$147=$CY$4:$CY$147))</f>
        <v>142</v>
      </c>
      <c r="BU47" s="217">
        <f>SUMPRODUCT(($CW$4:$CW$147='Dummy Table'!$BR47)*($CX$4:$CX$147&lt;$CY$4:$CY$147))</f>
        <v>0</v>
      </c>
      <c r="BV47" s="217">
        <f>SUMIF($CW$4:$CW$147,'Dummy Table'!$BR47,$CX$4:$CX$147)</f>
        <v>0</v>
      </c>
      <c r="BW47" s="217">
        <f>SUMIF($CW$4:$CW$147,'Dummy Table'!$BR47,$CY$4:$CY$147)</f>
        <v>0</v>
      </c>
      <c r="BX47" s="217">
        <f t="shared" si="161"/>
        <v>0</v>
      </c>
      <c r="BY47" s="217" t="str">
        <f t="shared" si="162"/>
        <v/>
      </c>
      <c r="BZ47" s="217">
        <f>SUMPRODUCT(($CZ$4:$CZ$147='Dummy Table'!$BR47)*($CX$4:$CX$147&lt;$CY$4:$CY$147))</f>
        <v>0</v>
      </c>
      <c r="CA47" s="217">
        <f>SUMPRODUCT(($CZ$4:$CZ$147='Dummy Table'!$BR47)*($CX$4:$CX$147=$CY$4:$CY$147))</f>
        <v>142</v>
      </c>
      <c r="CB47" s="217">
        <f>SUMPRODUCT(($CZ$4:$CZ$147='Dummy Table'!$BR47)*($CX$4:$CX$147&gt;$CY$4:$CY$147))</f>
        <v>0</v>
      </c>
      <c r="CC47" s="217">
        <f>SUMIF($CZ$4:$CZ$147,'Dummy Table'!$BR47,$CY$4:$CY$147)</f>
        <v>0</v>
      </c>
      <c r="CD47" s="217">
        <f>SUMIF($CZ$4:$CZ$147,'Dummy Table'!$BR47,$CX$4:$CX$147)</f>
        <v>0</v>
      </c>
      <c r="CE47" s="217">
        <f t="shared" si="163"/>
        <v>0</v>
      </c>
      <c r="CF47" s="217" t="str">
        <f t="shared" si="164"/>
        <v/>
      </c>
      <c r="CG47" s="217">
        <f t="shared" si="165"/>
        <v>0</v>
      </c>
      <c r="CH47" s="217">
        <f t="shared" si="166"/>
        <v>284</v>
      </c>
      <c r="CI47" s="217">
        <f t="shared" si="167"/>
        <v>0</v>
      </c>
      <c r="CJ47" s="217">
        <f t="shared" si="168"/>
        <v>0</v>
      </c>
      <c r="CK47" s="217">
        <f t="shared" si="169"/>
        <v>0</v>
      </c>
      <c r="CL47" s="217">
        <f t="shared" si="170"/>
        <v>0</v>
      </c>
      <c r="CM47" s="217">
        <f t="shared" si="171"/>
        <v>-1</v>
      </c>
      <c r="CN47" s="210">
        <f t="shared" si="172"/>
        <v>38000</v>
      </c>
      <c r="CO47" s="210">
        <f>SUMIF($CZ$4:$CZ$147,'Dummy Table'!$BR47,$CY$4:$CY$147)*2</f>
        <v>0</v>
      </c>
      <c r="CP47" s="210">
        <f>RANK(CM47,CM$44:CM$47)</f>
        <v>1</v>
      </c>
      <c r="CR47" s="210">
        <f>SUMPRODUCT((CM$44:CM$47=CM47)*(CL$44:CL$47&gt;CL47))</f>
        <v>0</v>
      </c>
      <c r="CS47" s="210">
        <f>SUMPRODUCT((CP$44:CP$47=CP47)*(CR$44:CR$47=CR47)*(CO$44:CO$47&gt;CO47))</f>
        <v>0</v>
      </c>
      <c r="CT47" s="210">
        <f>IF(BR47&lt;&gt;"",SUMPRODUCT((CP$44:CP$47=CP47)*(CR$44:CR$47=CR47)*(CS$44:CS$47=CS47)*(V$44:V$47&gt;V47)),0)</f>
        <v>0</v>
      </c>
      <c r="CU47" s="210">
        <f>IF($BR47&lt;&gt;"",SUMPRODUCT((CP$44:CP$47=CP47)*(CR$44:CR$47=CR47)*(CS$44:CS$47=CS47)*(CT$44:CT$47=CT47)*(T$44:T$47&gt;T47)),0)</f>
        <v>0</v>
      </c>
      <c r="CV47" s="210">
        <f>SUMPRODUCT((CP$44:CP$47=CP47)*(CR$44:CR$47=CR47)*(CS$44:CS$47=CS47)*(CT$44:CT$47=CT47)*(CU$44:CU$47=CU47)*(CN$44:CN$47&gt;CN47))</f>
        <v>1</v>
      </c>
      <c r="CW47" s="209" t="str">
        <f>IF(AND(COUNTIF($BR$4:$BR$35,'Group Stages'!$G53)&gt;0,COUNTIF($BR$4:$BR$35,'Group Stages'!$M53)&gt;0),'Group Stages'!$G53,"")</f>
        <v/>
      </c>
      <c r="CX47" s="209" t="str">
        <f>IF($CW47&lt;&gt;"",'Group Stages'!$I53,"")</f>
        <v/>
      </c>
      <c r="CY47" s="209" t="str">
        <f>IF($CW47&lt;&gt;"",'Group Stages'!$K53,"")</f>
        <v/>
      </c>
      <c r="CZ47" s="209" t="str">
        <f>IF($CW47&lt;&gt;"",'Group Stages'!$M53,"")</f>
        <v/>
      </c>
      <c r="DA47" s="210" t="str">
        <f t="shared" si="173"/>
        <v/>
      </c>
      <c r="DB47" s="209" t="str">
        <f t="shared" si="174"/>
        <v/>
      </c>
      <c r="DC47" s="209">
        <v>4</v>
      </c>
      <c r="DD47" s="209" t="str">
        <f t="shared" si="175"/>
        <v>Beşiktaş</v>
      </c>
      <c r="DE47" s="209" t="str">
        <f t="shared" ref="DE47" si="212">IF(AND(DD47="",DD46="",DD45="",DD44=""),4,IF(AND(DD47="",DD46="",DD45=""),3,IF(AND(DD45&lt;&gt;"",DD46="",DD47=""),2,IF(AND(DD45&lt;&gt;"",DD46&lt;&gt;"",DD47=""),1,""))))</f>
        <v/>
      </c>
      <c r="DF47" s="209" t="str">
        <f>VLOOKUP(DE47,$BO$44:$BP$47,2,FALSE)</f>
        <v/>
      </c>
      <c r="DG47" s="209">
        <v>4</v>
      </c>
      <c r="DH47" s="209" t="str">
        <f t="shared" ref="DH47" si="213">IF(DB47&lt;&gt;"",IF(DA46&lt;DA47,DB47,DB46),IF(DF47&lt;&gt;"",DF47,DD47))</f>
        <v>Beşiktaş</v>
      </c>
      <c r="DI47" s="209">
        <v>44</v>
      </c>
    </row>
    <row r="48" spans="1:113">
      <c r="A48" s="209">
        <f t="shared" si="135"/>
        <v>3</v>
      </c>
      <c r="B48" s="209" t="str">
        <f>'Team Setup'!B49</f>
        <v>Partizan</v>
      </c>
      <c r="C48" s="210">
        <f>SUMPRODUCT(('Group Stages'!$I$10:$I$153&lt;&gt;"")*('Group Stages'!$K$10:$K$153&lt;&gt;"")*('Group Stages'!$G$10:$G$153='Dummy Table'!$B48)*('Group Stages'!$I$10:$I$153&gt;'Group Stages'!$K$10:$K$153))</f>
        <v>0</v>
      </c>
      <c r="D48" s="210">
        <f>SUMPRODUCT(('Group Stages'!$I$10:$I$153&lt;&gt;"")*('Group Stages'!$K$10:$K$153&lt;&gt;"")*('Group Stages'!$G$10:$G$153='Dummy Table'!$B48)*('Group Stages'!$I$10:$I$153='Group Stages'!$K$10:$K$153))</f>
        <v>1</v>
      </c>
      <c r="E48" s="210">
        <f>SUMPRODUCT(('Group Stages'!$I$10:$I$153&lt;&gt;"")*('Group Stages'!$K$10:$K$153&lt;&gt;"")*('Group Stages'!$G$10:$G$153='Dummy Table'!$B48)*('Group Stages'!$I$10:$I$153&lt;'Group Stages'!$K$10:$K$153))</f>
        <v>1</v>
      </c>
      <c r="F48" s="210">
        <f>SUMIF('Group Stages'!$G$10:$G$153,'Dummy Table'!$B48,'Group Stages'!$I$10:$I$153)</f>
        <v>0</v>
      </c>
      <c r="G48" s="210">
        <f>SUMIF('Group Stages'!$G$10:$G$153,'Dummy Table'!$B48,'Group Stages'!$K$10:$K$153)</f>
        <v>0</v>
      </c>
      <c r="H48" s="210">
        <f t="shared" si="136"/>
        <v>0</v>
      </c>
      <c r="I48" s="210">
        <f t="shared" si="137"/>
        <v>1</v>
      </c>
      <c r="J48" s="209">
        <f>SUMPRODUCT(('Group Stages'!$I$10:$I$153&lt;&gt;"")*('Group Stages'!$K$10:$K$153&lt;&gt;"")*('Group Stages'!$M$10:$M$153='Dummy Table'!$B48)*('Group Stages'!$I$10:$I$153&lt;'Group Stages'!$K$10:$K$153))</f>
        <v>1</v>
      </c>
      <c r="K48" s="209">
        <f>SUMPRODUCT(('Group Stages'!$I$10:$I$153&lt;&gt;"")*('Group Stages'!$K$10:$K$153&lt;&gt;"")*('Group Stages'!$M$10:$M$153='Dummy Table'!$B48)*('Group Stages'!$I$10:$I$153='Group Stages'!$K$10:$K$153))</f>
        <v>0</v>
      </c>
      <c r="L48" s="209">
        <f>SUMPRODUCT(('Group Stages'!$I$10:$I$153&lt;&gt;"")*('Group Stages'!$K$10:$K$153&lt;&gt;"")*('Group Stages'!$M$10:$M$153='Dummy Table'!$B48)*('Group Stages'!$I$10:$I$153&gt;'Group Stages'!$K$10:$K$153))</f>
        <v>1</v>
      </c>
      <c r="M48" s="209">
        <f>SUMIF('Group Stages'!$M$10:$M$153,'Dummy Table'!$B48,'Group Stages'!$K$10:$K$153)</f>
        <v>0</v>
      </c>
      <c r="N48" s="209">
        <f>SUMIF('Group Stages'!$M$10:$M$153,'Dummy Table'!$B48,'Group Stages'!$I$10:$I$153)</f>
        <v>0</v>
      </c>
      <c r="O48" s="209">
        <f t="shared" si="138"/>
        <v>0</v>
      </c>
      <c r="P48" s="209">
        <f t="shared" si="139"/>
        <v>3</v>
      </c>
      <c r="Q48" s="209">
        <f t="shared" si="140"/>
        <v>1</v>
      </c>
      <c r="R48" s="209">
        <f t="shared" si="141"/>
        <v>1</v>
      </c>
      <c r="S48" s="209">
        <f t="shared" si="142"/>
        <v>2</v>
      </c>
      <c r="T48" s="209">
        <f t="shared" si="143"/>
        <v>0</v>
      </c>
      <c r="U48" s="209">
        <f t="shared" si="144"/>
        <v>0</v>
      </c>
      <c r="V48" s="209">
        <f t="shared" si="145"/>
        <v>0</v>
      </c>
      <c r="W48" s="209">
        <f t="shared" si="146"/>
        <v>4</v>
      </c>
      <c r="X48" s="210">
        <f>IF('Team Setup'!F49&lt;&gt;"",'Team Setup'!F49,DI48)</f>
        <v>19000</v>
      </c>
      <c r="Y48" s="210">
        <f>RANK(W48,W$48:W$51)</f>
        <v>3</v>
      </c>
      <c r="Z48" s="210">
        <f>SUMPRODUCT((W$48:W$51=W48)*(V$48:V$51&gt;V48))</f>
        <v>0</v>
      </c>
      <c r="AA48" s="210">
        <f>SUMPRODUCT((Y$48:Y$51=Y48)*(Z$48:Z$51=Z48)*(T$48:T$51&gt;T48))</f>
        <v>0</v>
      </c>
      <c r="AB48" s="210">
        <f>SUMPRODUCT((Y$48:Y$51=Y48)*(Z$48:Z$51=Z48)*(T$48:T$51=T48)*(X$48:X$51&gt;X48))</f>
        <v>0</v>
      </c>
      <c r="AC48" s="209">
        <v>1</v>
      </c>
      <c r="AD48" s="209" t="str">
        <f>VLOOKUP(AC48,$A$48:$B$51,2,FALSE)</f>
        <v>Manchester United</v>
      </c>
      <c r="AE48" s="209">
        <f>VLOOKUP($AD48,$B$48:$W$51,22,FALSE)</f>
        <v>10</v>
      </c>
      <c r="AF48" s="209" t="str">
        <f t="shared" ref="AF48" si="214">IF(AE48=AE49,AD48,"")</f>
        <v/>
      </c>
      <c r="AG48" s="210">
        <f>SUMPRODUCT(($BK$4:$BK$147='Dummy Table'!$AF48)*($BL$4:$BL$147&gt;$BM$4:$BM$147))</f>
        <v>0</v>
      </c>
      <c r="AH48" s="210">
        <f>SUMPRODUCT(($BK$4:$BK$147='Dummy Table'!$AF48)*($BL$4:$BL$147=$BM$4:$BM$147))</f>
        <v>134</v>
      </c>
      <c r="AI48" s="210">
        <f>SUMPRODUCT(($BK$4:$BK$147='Dummy Table'!$AF48)*($BL$4:$BL$147&lt;$BM$4:$BM$147))</f>
        <v>0</v>
      </c>
      <c r="AJ48" s="210">
        <f>SUMIF($BK$4:$BK$147,'Dummy Table'!$AF48,$BL$4:$BL$147)</f>
        <v>0</v>
      </c>
      <c r="AK48" s="210">
        <f>SUMIF($BK$4:$BK$147,'Dummy Table'!$AF48,$BM$4:$BM$147)</f>
        <v>0</v>
      </c>
      <c r="AL48" s="210">
        <f t="shared" si="148"/>
        <v>0</v>
      </c>
      <c r="AM48" s="210" t="str">
        <f t="shared" si="149"/>
        <v/>
      </c>
      <c r="AN48" s="210">
        <f>SUMPRODUCT(($BN$4:$BN$147='Dummy Table'!$AF48)*($BL$4:$BL$147&lt;$BM$4:$BM$147))</f>
        <v>0</v>
      </c>
      <c r="AO48" s="210">
        <f>SUMPRODUCT(($BN$4:$BN$147='Dummy Table'!$AF48)*($BL$4:$BL$147=$BM$4:$BM$147))</f>
        <v>134</v>
      </c>
      <c r="AP48" s="210">
        <f>SUMPRODUCT(($BN$4:$BN$147='Dummy Table'!$AF48)*($BL$4:$BL$147&gt;$BM$4:$BM$147))</f>
        <v>0</v>
      </c>
      <c r="AQ48" s="210">
        <f>SUMIF($BN$4:$BN$147,'Dummy Table'!$AF48,$BM$4:$BM$147)</f>
        <v>0</v>
      </c>
      <c r="AR48" s="210">
        <f>SUMIF($BN$4:$BN$147,'Dummy Table'!$AF48,$BL$4:$BL$147)</f>
        <v>0</v>
      </c>
      <c r="AS48" s="210">
        <f t="shared" si="150"/>
        <v>0</v>
      </c>
      <c r="AT48" s="210" t="str">
        <f t="shared" si="151"/>
        <v/>
      </c>
      <c r="AU48" s="210">
        <f t="shared" si="152"/>
        <v>0</v>
      </c>
      <c r="AV48" s="210">
        <f t="shared" si="153"/>
        <v>268</v>
      </c>
      <c r="AW48" s="210">
        <f t="shared" si="154"/>
        <v>0</v>
      </c>
      <c r="AX48" s="210">
        <f t="shared" si="155"/>
        <v>0</v>
      </c>
      <c r="AY48" s="210">
        <f t="shared" si="156"/>
        <v>0</v>
      </c>
      <c r="AZ48" s="210">
        <f t="shared" si="157"/>
        <v>0</v>
      </c>
      <c r="BA48" s="210">
        <f t="shared" si="158"/>
        <v>-1</v>
      </c>
      <c r="BB48" s="209" t="str">
        <f t="shared" si="2"/>
        <v/>
      </c>
      <c r="BC48" s="209" t="str">
        <f t="shared" si="3"/>
        <v/>
      </c>
      <c r="BD48" s="209" t="str">
        <f t="shared" si="4"/>
        <v/>
      </c>
      <c r="BE48" s="209">
        <f>RANK(BA48,BA$48:BA$51)</f>
        <v>1</v>
      </c>
      <c r="BF48" s="209">
        <f>SUMPRODUCT((BA$48:BA$51=BA48)*(AZ$48:AZ$51&gt;AZ48))</f>
        <v>0</v>
      </c>
      <c r="BG48" s="209">
        <f>SUMPRODUCT((BA$48:BA$51=BA48)*(BE$48:BE$51=BE48)*(AZ$48:AZ$51=AZ48)*(AQ$48:AQ$51&gt;AQ48))</f>
        <v>0</v>
      </c>
      <c r="BH48" s="209">
        <f>SUMPRODUCT((BA$48:BA$51=BA48)*(BE$48:BE$51=BE48)*(AZ$48:AZ$51=AZ48)*(AQ$48:AQ$51=AQ48)*(BB$48:BB$51&gt;BB48))</f>
        <v>0</v>
      </c>
      <c r="BI48" s="209">
        <f>SUMPRODUCT((BA$48:BA$51=BA48)*(BE$48:BE$51=BE48)*(AZ$48:AZ$51=AZ48)*(AQ$48:AQ$51=AQ48)*(BB$48:BB$51=BB48)*(BC$48:BC$51&gt;BC48))</f>
        <v>0</v>
      </c>
      <c r="BJ48" s="209">
        <f>SUMPRODUCT((BA$48:BA$51=BA48)*(BE$48:BE$51=BE48)*(AZ$48:AZ$51=AZ48)*(AQ$48:AQ$51=AQ48)*(BB$48:BB$51=BB48)*(BC$48:BC$51=BC48)*(BD$48:BD$51&gt;BD48))</f>
        <v>0</v>
      </c>
      <c r="BK48" s="209" t="str">
        <f>IF(AND(COUNTIF($AF$4:$AF$35,'Group Stages'!G54)&gt;0,COUNTIF($AF$4:$AF$35,'Group Stages'!M54)&gt;0,'Group Stages'!I54&lt;&gt;"",'Group Stages'!K54&lt;&gt;""),'Group Stages'!G54,"")</f>
        <v/>
      </c>
      <c r="BL48" s="209" t="str">
        <f>IF($BK48&lt;&gt;"",'Group Stages'!I54,"")</f>
        <v/>
      </c>
      <c r="BM48" s="209" t="str">
        <f>IF($BK48&lt;&gt;"",'Group Stages'!K54,"")</f>
        <v/>
      </c>
      <c r="BN48" s="209" t="str">
        <f>IF($BK48&lt;&gt;"",'Group Stages'!M54,"")</f>
        <v/>
      </c>
      <c r="BO48" s="209" t="str">
        <f t="shared" si="159"/>
        <v/>
      </c>
      <c r="BP48" s="209" t="str">
        <f t="shared" si="160"/>
        <v/>
      </c>
      <c r="BQ48" s="209">
        <f>VLOOKUP($AD48,$B$48:$W$51,22,FALSE)</f>
        <v>10</v>
      </c>
      <c r="BS48" s="217">
        <f>SUMPRODUCT(($CW$4:$CW$147='Dummy Table'!$BR48)*($CX$4:$CX$147&gt;$CY$4:$CY$147))</f>
        <v>0</v>
      </c>
      <c r="BT48" s="217">
        <f>SUMPRODUCT(($CW$4:$CW$147='Dummy Table'!$BR48)*($CX$4:$CX$147=$CY$4:$CY$147))</f>
        <v>142</v>
      </c>
      <c r="BU48" s="217">
        <f>SUMPRODUCT(($CW$4:$CW$147='Dummy Table'!$BR48)*($CX$4:$CX$147&lt;$CY$4:$CY$147))</f>
        <v>0</v>
      </c>
      <c r="BV48" s="217">
        <f>SUMIF($CW$4:$CW$147,'Dummy Table'!$BR48,$CX$4:$CX$147)</f>
        <v>0</v>
      </c>
      <c r="BW48" s="217">
        <f>SUMIF($CW$4:$CW$147,'Dummy Table'!$BR48,$CY$4:$CY$147)</f>
        <v>0</v>
      </c>
      <c r="BX48" s="217">
        <f t="shared" si="161"/>
        <v>0</v>
      </c>
      <c r="BY48" s="217" t="str">
        <f t="shared" si="162"/>
        <v/>
      </c>
      <c r="BZ48" s="217">
        <f>SUMPRODUCT(($CZ$4:$CZ$147='Dummy Table'!$BR48)*($CX$4:$CX$147&lt;$CY$4:$CY$147))</f>
        <v>0</v>
      </c>
      <c r="CA48" s="217">
        <f>SUMPRODUCT(($CZ$4:$CZ$147='Dummy Table'!$BR48)*($CX$4:$CX$147=$CY$4:$CY$147))</f>
        <v>142</v>
      </c>
      <c r="CB48" s="217">
        <f>SUMPRODUCT(($CZ$4:$CZ$147='Dummy Table'!$BR48)*($CX$4:$CX$147&gt;$CY$4:$CY$147))</f>
        <v>0</v>
      </c>
      <c r="CC48" s="217">
        <f>SUMIF($CZ$4:$CZ$147,'Dummy Table'!$BR48,$CY$4:$CY$147)</f>
        <v>0</v>
      </c>
      <c r="CD48" s="217">
        <f>SUMIF($CZ$4:$CZ$147,'Dummy Table'!$BR48,$CX$4:$CX$147)</f>
        <v>0</v>
      </c>
      <c r="CE48" s="217">
        <f t="shared" si="163"/>
        <v>0</v>
      </c>
      <c r="CF48" s="217" t="str">
        <f t="shared" si="164"/>
        <v/>
      </c>
      <c r="CG48" s="217">
        <f t="shared" si="165"/>
        <v>0</v>
      </c>
      <c r="CH48" s="217">
        <f t="shared" si="166"/>
        <v>284</v>
      </c>
      <c r="CI48" s="217">
        <f t="shared" si="167"/>
        <v>0</v>
      </c>
      <c r="CJ48" s="217">
        <f t="shared" si="168"/>
        <v>0</v>
      </c>
      <c r="CK48" s="217">
        <f t="shared" si="169"/>
        <v>0</v>
      </c>
      <c r="CL48" s="217">
        <f t="shared" si="170"/>
        <v>0</v>
      </c>
      <c r="CM48" s="217">
        <f t="shared" si="171"/>
        <v>-1</v>
      </c>
      <c r="CN48" s="210">
        <f t="shared" si="172"/>
        <v>19000</v>
      </c>
      <c r="CO48" s="210">
        <f>SUMIF($CZ$4:$CZ$147,'Dummy Table'!$BR48,$CY$4:$CY$147)*2</f>
        <v>0</v>
      </c>
      <c r="CP48" s="210">
        <f>RANK(CM48,CM$48:CM$51)</f>
        <v>1</v>
      </c>
      <c r="CR48" s="210">
        <f>SUMPRODUCT((CM$48:CM$51=CM48)*(CL$48:CL$51&gt;CL48))</f>
        <v>0</v>
      </c>
      <c r="CS48" s="210">
        <f>SUMPRODUCT((CP$48:CP$51=CP48)*(CR$48:CR$51=CR48)*(CO$48:CO$51&gt;CO48))</f>
        <v>0</v>
      </c>
      <c r="CT48" s="210">
        <f>IF(BR48&lt;&gt;"",SUMPRODUCT((CP$48:CP$51=CP48)*(CR$48:CR$51=CR48)*(CS$48:CS$51=CS48)*(V$48:V$51&gt;V48)),0)</f>
        <v>0</v>
      </c>
      <c r="CU48" s="210">
        <f>IF($BR48&lt;&gt;"",SUMPRODUCT((CP$48:CP$51=CP48)*(CR$48:CR$51=CR48)*(CS$48:CS$51=CS48)*(CT$48:CT$51=CT48)*(T$48:T$51&gt;T48)),0)</f>
        <v>0</v>
      </c>
      <c r="CV48" s="210">
        <f>SUMPRODUCT((CP$48:CP$51=CP48)*(CR$48:CR$51=CR48)*(CS$48:CS$51=CS48)*(CT$48:CT$51=CT48)*(CU$48:CU$51=CU48)*(CN$48:CN$51&gt;CN48))</f>
        <v>2</v>
      </c>
      <c r="CW48" s="209" t="str">
        <f>IF(AND(COUNTIF($BR$4:$BR$35,'Group Stages'!$G54)&gt;0,COUNTIF($BR$4:$BR$35,'Group Stages'!$M54)&gt;0),'Group Stages'!$G54,"")</f>
        <v/>
      </c>
      <c r="CX48" s="209" t="str">
        <f>IF($CW48&lt;&gt;"",'Group Stages'!$I54,"")</f>
        <v/>
      </c>
      <c r="CY48" s="209" t="str">
        <f>IF($CW48&lt;&gt;"",'Group Stages'!$K54,"")</f>
        <v/>
      </c>
      <c r="CZ48" s="209" t="str">
        <f>IF($CW48&lt;&gt;"",'Group Stages'!$M54,"")</f>
        <v/>
      </c>
      <c r="DA48" s="210" t="str">
        <f t="shared" si="173"/>
        <v/>
      </c>
      <c r="DB48" s="209" t="str">
        <f t="shared" si="174"/>
        <v/>
      </c>
      <c r="DC48" s="209">
        <v>1</v>
      </c>
      <c r="DD48" s="209" t="str">
        <f t="shared" si="175"/>
        <v>Manchester United</v>
      </c>
      <c r="DE48" s="209" t="str">
        <f t="shared" ref="DE48" si="215">IF(DD48="",DC48,"")</f>
        <v/>
      </c>
      <c r="DF48" s="209" t="str">
        <f>VLOOKUP(DE48,$BO$48:$BP$51,2,FALSE)</f>
        <v/>
      </c>
      <c r="DG48" s="209">
        <v>1</v>
      </c>
      <c r="DH48" s="209" t="str">
        <f t="shared" ref="DH48:DH49" si="216">IF(DD48="",DF48,DD48)</f>
        <v>Manchester United</v>
      </c>
      <c r="DI48" s="209">
        <v>45</v>
      </c>
    </row>
    <row r="49" spans="1:113">
      <c r="A49" s="209">
        <f t="shared" si="135"/>
        <v>1</v>
      </c>
      <c r="B49" s="209" t="str">
        <f>'Team Setup'!B50</f>
        <v>Manchester United</v>
      </c>
      <c r="C49" s="210">
        <f>SUMPRODUCT(('Group Stages'!$I$10:$I$153&lt;&gt;"")*('Group Stages'!$K$10:$K$153&lt;&gt;"")*('Group Stages'!$G$10:$G$153='Dummy Table'!$B49)*('Group Stages'!$I$10:$I$153&gt;'Group Stages'!$K$10:$K$153))</f>
        <v>2</v>
      </c>
      <c r="D49" s="210">
        <f>SUMPRODUCT(('Group Stages'!$I$10:$I$153&lt;&gt;"")*('Group Stages'!$K$10:$K$153&lt;&gt;"")*('Group Stages'!$G$10:$G$153='Dummy Table'!$B49)*('Group Stages'!$I$10:$I$153='Group Stages'!$K$10:$K$153))</f>
        <v>0</v>
      </c>
      <c r="E49" s="210">
        <f>SUMPRODUCT(('Group Stages'!$I$10:$I$153&lt;&gt;"")*('Group Stages'!$K$10:$K$153&lt;&gt;"")*('Group Stages'!$G$10:$G$153='Dummy Table'!$B49)*('Group Stages'!$I$10:$I$153&lt;'Group Stages'!$K$10:$K$153))</f>
        <v>0</v>
      </c>
      <c r="F49" s="210">
        <f>SUMIF('Group Stages'!$G$10:$G$153,'Dummy Table'!$B49,'Group Stages'!$I$10:$I$153)</f>
        <v>0</v>
      </c>
      <c r="G49" s="210">
        <f>SUMIF('Group Stages'!$G$10:$G$153,'Dummy Table'!$B49,'Group Stages'!$K$10:$K$153)</f>
        <v>0</v>
      </c>
      <c r="H49" s="210">
        <f t="shared" si="136"/>
        <v>0</v>
      </c>
      <c r="I49" s="210">
        <f t="shared" si="137"/>
        <v>6</v>
      </c>
      <c r="J49" s="209">
        <f>SUMPRODUCT(('Group Stages'!$I$10:$I$153&lt;&gt;"")*('Group Stages'!$K$10:$K$153&lt;&gt;"")*('Group Stages'!$M$10:$M$153='Dummy Table'!$B49)*('Group Stages'!$I$10:$I$153&lt;'Group Stages'!$K$10:$K$153))</f>
        <v>1</v>
      </c>
      <c r="K49" s="209">
        <f>SUMPRODUCT(('Group Stages'!$I$10:$I$153&lt;&gt;"")*('Group Stages'!$K$10:$K$153&lt;&gt;"")*('Group Stages'!$M$10:$M$153='Dummy Table'!$B49)*('Group Stages'!$I$10:$I$153='Group Stages'!$K$10:$K$153))</f>
        <v>1</v>
      </c>
      <c r="L49" s="209">
        <f>SUMPRODUCT(('Group Stages'!$I$10:$I$153&lt;&gt;"")*('Group Stages'!$K$10:$K$153&lt;&gt;"")*('Group Stages'!$M$10:$M$153='Dummy Table'!$B49)*('Group Stages'!$I$10:$I$153&gt;'Group Stages'!$K$10:$K$153))</f>
        <v>0</v>
      </c>
      <c r="M49" s="209">
        <f>SUMIF('Group Stages'!$M$10:$M$153,'Dummy Table'!$B49,'Group Stages'!$K$10:$K$153)</f>
        <v>0</v>
      </c>
      <c r="N49" s="209">
        <f>SUMIF('Group Stages'!$M$10:$M$153,'Dummy Table'!$B49,'Group Stages'!$I$10:$I$153)</f>
        <v>0</v>
      </c>
      <c r="O49" s="209">
        <f t="shared" si="138"/>
        <v>0</v>
      </c>
      <c r="P49" s="209">
        <f t="shared" si="139"/>
        <v>4</v>
      </c>
      <c r="Q49" s="209">
        <f t="shared" si="140"/>
        <v>3</v>
      </c>
      <c r="R49" s="209">
        <f t="shared" si="141"/>
        <v>1</v>
      </c>
      <c r="S49" s="209">
        <f t="shared" si="142"/>
        <v>0</v>
      </c>
      <c r="T49" s="209">
        <f t="shared" si="143"/>
        <v>0</v>
      </c>
      <c r="U49" s="209">
        <f t="shared" si="144"/>
        <v>0</v>
      </c>
      <c r="V49" s="209">
        <f t="shared" si="145"/>
        <v>0</v>
      </c>
      <c r="W49" s="209">
        <f t="shared" si="146"/>
        <v>10</v>
      </c>
      <c r="X49" s="210">
        <f>IF('Team Setup'!F50&lt;&gt;"",'Team Setup'!F50,DI49)</f>
        <v>85000</v>
      </c>
      <c r="Y49" s="210">
        <f>RANK(W49,W$48:W$51)</f>
        <v>1</v>
      </c>
      <c r="Z49" s="210">
        <f>SUMPRODUCT((W$48:W$51=W49)*(V$48:V$51&gt;V49))</f>
        <v>0</v>
      </c>
      <c r="AA49" s="210">
        <f>SUMPRODUCT((Y$48:Y$51=Y49)*(Z$48:Z$51=Z49)*(T$48:T$51&gt;T49))</f>
        <v>0</v>
      </c>
      <c r="AB49" s="210">
        <f>SUMPRODUCT((Y$48:Y$51=Y49)*(Z$48:Z$51=Z49)*(T$48:T$51=T49)*(X$48:X$51&gt;X49))</f>
        <v>0</v>
      </c>
      <c r="AC49" s="209">
        <v>2</v>
      </c>
      <c r="AD49" s="209" t="str">
        <f>VLOOKUP(AC49,$A$48:$B$51,2,FALSE)</f>
        <v>AZ Alkmaar</v>
      </c>
      <c r="AE49" s="209">
        <f>VLOOKUP($AD49,$B$48:$W$51,22,FALSE)</f>
        <v>8</v>
      </c>
      <c r="AF49" s="209" t="str">
        <f t="shared" ref="AF49" si="217">IF(OR(AE49=AE48,AE49=AE50),AD49,"")</f>
        <v/>
      </c>
      <c r="AG49" s="210">
        <f>SUMPRODUCT(($BK$4:$BK$147='Dummy Table'!$AF49)*($BL$4:$BL$147&gt;$BM$4:$BM$147))</f>
        <v>0</v>
      </c>
      <c r="AH49" s="210">
        <f>SUMPRODUCT(($BK$4:$BK$147='Dummy Table'!$AF49)*($BL$4:$BL$147=$BM$4:$BM$147))</f>
        <v>134</v>
      </c>
      <c r="AI49" s="210">
        <f>SUMPRODUCT(($BK$4:$BK$147='Dummy Table'!$AF49)*($BL$4:$BL$147&lt;$BM$4:$BM$147))</f>
        <v>0</v>
      </c>
      <c r="AJ49" s="210">
        <f>SUMIF($BK$4:$BK$147,'Dummy Table'!$AF49,$BL$4:$BL$147)</f>
        <v>0</v>
      </c>
      <c r="AK49" s="210">
        <f>SUMIF($BK$4:$BK$147,'Dummy Table'!$AF49,$BM$4:$BM$147)</f>
        <v>0</v>
      </c>
      <c r="AL49" s="210">
        <f t="shared" si="148"/>
        <v>0</v>
      </c>
      <c r="AM49" s="210" t="str">
        <f t="shared" si="149"/>
        <v/>
      </c>
      <c r="AN49" s="210">
        <f>SUMPRODUCT(($BN$4:$BN$147='Dummy Table'!$AF49)*($BL$4:$BL$147&lt;$BM$4:$BM$147))</f>
        <v>0</v>
      </c>
      <c r="AO49" s="210">
        <f>SUMPRODUCT(($BN$4:$BN$147='Dummy Table'!$AF49)*($BL$4:$BL$147=$BM$4:$BM$147))</f>
        <v>134</v>
      </c>
      <c r="AP49" s="210">
        <f>SUMPRODUCT(($BN$4:$BN$147='Dummy Table'!$AF49)*($BL$4:$BL$147&gt;$BM$4:$BM$147))</f>
        <v>0</v>
      </c>
      <c r="AQ49" s="210">
        <f>SUMIF($BN$4:$BN$147,'Dummy Table'!$AF49,$BM$4:$BM$147)</f>
        <v>0</v>
      </c>
      <c r="AR49" s="210">
        <f>SUMIF($BN$4:$BN$147,'Dummy Table'!$AF49,$BL$4:$BL$147)</f>
        <v>0</v>
      </c>
      <c r="AS49" s="210">
        <f t="shared" si="150"/>
        <v>0</v>
      </c>
      <c r="AT49" s="210" t="str">
        <f t="shared" si="151"/>
        <v/>
      </c>
      <c r="AU49" s="210">
        <f t="shared" si="152"/>
        <v>0</v>
      </c>
      <c r="AV49" s="210">
        <f t="shared" si="153"/>
        <v>268</v>
      </c>
      <c r="AW49" s="210">
        <f t="shared" si="154"/>
        <v>0</v>
      </c>
      <c r="AX49" s="210">
        <f t="shared" si="155"/>
        <v>0</v>
      </c>
      <c r="AY49" s="210">
        <f t="shared" si="156"/>
        <v>0</v>
      </c>
      <c r="AZ49" s="210">
        <f t="shared" si="157"/>
        <v>0</v>
      </c>
      <c r="BA49" s="210">
        <f t="shared" si="158"/>
        <v>-1</v>
      </c>
      <c r="BB49" s="209" t="str">
        <f t="shared" si="2"/>
        <v/>
      </c>
      <c r="BC49" s="209" t="str">
        <f t="shared" si="3"/>
        <v/>
      </c>
      <c r="BD49" s="209" t="str">
        <f t="shared" si="4"/>
        <v/>
      </c>
      <c r="BE49" s="209">
        <f>RANK(BA49,BA$48:BA$51)</f>
        <v>1</v>
      </c>
      <c r="BF49" s="209">
        <f>SUMPRODUCT((BA$48:BA$51=BA49)*(AZ$48:AZ$51&gt;AZ49))</f>
        <v>0</v>
      </c>
      <c r="BG49" s="209">
        <f>SUMPRODUCT((BA$48:BA$51=BA49)*(BE$48:BE$51=BE49)*(AZ$48:AZ$51=AZ49)*(AQ$48:AQ$51&gt;AQ49))</f>
        <v>0</v>
      </c>
      <c r="BH49" s="209">
        <f>SUMPRODUCT((BA$48:BA$51=BA49)*(BE$48:BE$51=BE49)*(AZ$48:AZ$51=AZ49)*(AQ$48:AQ$51=AQ49)*(BB$48:BB$51&gt;BB49))</f>
        <v>0</v>
      </c>
      <c r="BI49" s="209">
        <f>SUMPRODUCT((BA$48:BA$51=BA49)*(BE$48:BE$51=BE49)*(AZ$48:AZ$51=AZ49)*(AQ$48:AQ$51=AQ49)*(BB$48:BB$51=BB49)*(BC$48:BC$51&gt;BC49))</f>
        <v>0</v>
      </c>
      <c r="BJ49" s="209">
        <f>SUMPRODUCT((BA$48:BA$51=BA49)*(BE$48:BE$51=BE49)*(AZ$48:AZ$51=AZ49)*(AQ$48:AQ$51=AQ49)*(BB$48:BB$51=BB49)*(BC$48:BC$51=BC49)*(BD$48:BD$51&gt;BD49))</f>
        <v>0</v>
      </c>
      <c r="BK49" s="209" t="str">
        <f>IF(AND(COUNTIF($AF$4:$AF$35,'Group Stages'!G55)&gt;0,COUNTIF($AF$4:$AF$35,'Group Stages'!M55)&gt;0,'Group Stages'!I55&lt;&gt;"",'Group Stages'!K55&lt;&gt;""),'Group Stages'!G55,"")</f>
        <v/>
      </c>
      <c r="BL49" s="209" t="str">
        <f>IF($BK49&lt;&gt;"",'Group Stages'!I55,"")</f>
        <v/>
      </c>
      <c r="BM49" s="209" t="str">
        <f>IF($BK49&lt;&gt;"",'Group Stages'!K55,"")</f>
        <v/>
      </c>
      <c r="BN49" s="209" t="str">
        <f>IF($BK49&lt;&gt;"",'Group Stages'!M55,"")</f>
        <v/>
      </c>
      <c r="BO49" s="209" t="str">
        <f t="shared" si="159"/>
        <v/>
      </c>
      <c r="BP49" s="209" t="str">
        <f t="shared" si="160"/>
        <v/>
      </c>
      <c r="BQ49" s="209">
        <f>VLOOKUP($AD49,$B$48:$W$51,22,FALSE)</f>
        <v>8</v>
      </c>
      <c r="BS49" s="217">
        <f>SUMPRODUCT(($CW$4:$CW$147='Dummy Table'!$BR49)*($CX$4:$CX$147&gt;$CY$4:$CY$147))</f>
        <v>0</v>
      </c>
      <c r="BT49" s="217">
        <f>SUMPRODUCT(($CW$4:$CW$147='Dummy Table'!$BR49)*($CX$4:$CX$147=$CY$4:$CY$147))</f>
        <v>142</v>
      </c>
      <c r="BU49" s="217">
        <f>SUMPRODUCT(($CW$4:$CW$147='Dummy Table'!$BR49)*($CX$4:$CX$147&lt;$CY$4:$CY$147))</f>
        <v>0</v>
      </c>
      <c r="BV49" s="217">
        <f>SUMIF($CW$4:$CW$147,'Dummy Table'!$BR49,$CX$4:$CX$147)</f>
        <v>0</v>
      </c>
      <c r="BW49" s="217">
        <f>SUMIF($CW$4:$CW$147,'Dummy Table'!$BR49,$CY$4:$CY$147)</f>
        <v>0</v>
      </c>
      <c r="BX49" s="217">
        <f t="shared" si="161"/>
        <v>0</v>
      </c>
      <c r="BY49" s="217" t="str">
        <f t="shared" si="162"/>
        <v/>
      </c>
      <c r="BZ49" s="217">
        <f>SUMPRODUCT(($CZ$4:$CZ$147='Dummy Table'!$BR49)*($CX$4:$CX$147&lt;$CY$4:$CY$147))</f>
        <v>0</v>
      </c>
      <c r="CA49" s="217">
        <f>SUMPRODUCT(($CZ$4:$CZ$147='Dummy Table'!$BR49)*($CX$4:$CX$147=$CY$4:$CY$147))</f>
        <v>142</v>
      </c>
      <c r="CB49" s="217">
        <f>SUMPRODUCT(($CZ$4:$CZ$147='Dummy Table'!$BR49)*($CX$4:$CX$147&gt;$CY$4:$CY$147))</f>
        <v>0</v>
      </c>
      <c r="CC49" s="217">
        <f>SUMIF($CZ$4:$CZ$147,'Dummy Table'!$BR49,$CY$4:$CY$147)</f>
        <v>0</v>
      </c>
      <c r="CD49" s="217">
        <f>SUMIF($CZ$4:$CZ$147,'Dummy Table'!$BR49,$CX$4:$CX$147)</f>
        <v>0</v>
      </c>
      <c r="CE49" s="217">
        <f t="shared" si="163"/>
        <v>0</v>
      </c>
      <c r="CF49" s="217" t="str">
        <f t="shared" si="164"/>
        <v/>
      </c>
      <c r="CG49" s="217">
        <f t="shared" si="165"/>
        <v>0</v>
      </c>
      <c r="CH49" s="217">
        <f t="shared" si="166"/>
        <v>284</v>
      </c>
      <c r="CI49" s="217">
        <f t="shared" si="167"/>
        <v>0</v>
      </c>
      <c r="CJ49" s="217">
        <f t="shared" si="168"/>
        <v>0</v>
      </c>
      <c r="CK49" s="217">
        <f t="shared" si="169"/>
        <v>0</v>
      </c>
      <c r="CL49" s="217">
        <f t="shared" si="170"/>
        <v>0</v>
      </c>
      <c r="CM49" s="217">
        <f t="shared" si="171"/>
        <v>-1</v>
      </c>
      <c r="CN49" s="210">
        <f t="shared" si="172"/>
        <v>85000</v>
      </c>
      <c r="CO49" s="210">
        <f>SUMIF($CZ$4:$CZ$147,'Dummy Table'!$BR49,$CY$4:$CY$147)*2</f>
        <v>0</v>
      </c>
      <c r="CP49" s="210">
        <f>RANK(CM49,CM$48:CM$51)</f>
        <v>1</v>
      </c>
      <c r="CR49" s="210">
        <f>SUMPRODUCT((CM$48:CM$51=CM49)*(CL$48:CL$51&gt;CL49))</f>
        <v>0</v>
      </c>
      <c r="CS49" s="210">
        <f>SUMPRODUCT((CP$48:CP$51=CP49)*(CR$48:CR$51=CR49)*(CO$48:CO$51&gt;CO49))</f>
        <v>0</v>
      </c>
      <c r="CT49" s="210">
        <f>IF(BR49&lt;&gt;"",SUMPRODUCT((CP$48:CP$51=CP49)*(CR$48:CR$51=CR49)*(CS$48:CS$51=CS49)*(V$48:V$51&gt;V49)),0)</f>
        <v>0</v>
      </c>
      <c r="CU49" s="210">
        <f>IF($BR49&lt;&gt;"",SUMPRODUCT((CP$48:CP$51=CP49)*(CR$48:CR$51=CR49)*(CS$48:CS$51=CS49)*(CT$48:CT$51=CT49)*(T$48:T$51&gt;T49)),0)</f>
        <v>0</v>
      </c>
      <c r="CV49" s="210">
        <f>SUMPRODUCT((CP$48:CP$51=CP49)*(CR$48:CR$51=CR49)*(CS$48:CS$51=CS49)*(CT$48:CT$51=CT49)*(CU$48:CU$51=CU49)*(CN$48:CN$51&gt;CN49))</f>
        <v>0</v>
      </c>
      <c r="CW49" s="209" t="str">
        <f>IF(AND(COUNTIF($BR$4:$BR$35,'Group Stages'!$G55)&gt;0,COUNTIF($BR$4:$BR$35,'Group Stages'!$M55)&gt;0),'Group Stages'!$G55,"")</f>
        <v/>
      </c>
      <c r="CX49" s="209" t="str">
        <f>IF($CW49&lt;&gt;"",'Group Stages'!$I55,"")</f>
        <v/>
      </c>
      <c r="CY49" s="209" t="str">
        <f>IF($CW49&lt;&gt;"",'Group Stages'!$K55,"")</f>
        <v/>
      </c>
      <c r="CZ49" s="209" t="str">
        <f>IF($CW49&lt;&gt;"",'Group Stages'!$M55,"")</f>
        <v/>
      </c>
      <c r="DA49" s="210" t="str">
        <f t="shared" si="173"/>
        <v/>
      </c>
      <c r="DB49" s="209" t="str">
        <f t="shared" si="174"/>
        <v/>
      </c>
      <c r="DC49" s="209">
        <v>2</v>
      </c>
      <c r="DD49" s="209" t="str">
        <f t="shared" si="175"/>
        <v>AZ Alkmaar</v>
      </c>
      <c r="DE49" s="209" t="str">
        <f t="shared" ref="DE49" si="218">IF(AND(DD49="",DD48=""),DC49,IF(AND(DD48&lt;&gt;"",DD49=""),1,""))</f>
        <v/>
      </c>
      <c r="DF49" s="209" t="str">
        <f>VLOOKUP(DE49,$BO$48:$BP$51,2,FALSE)</f>
        <v/>
      </c>
      <c r="DG49" s="209">
        <v>2</v>
      </c>
      <c r="DH49" s="209" t="str">
        <f t="shared" si="216"/>
        <v>AZ Alkmaar</v>
      </c>
      <c r="DI49" s="209">
        <v>46</v>
      </c>
    </row>
    <row r="50" spans="1:113">
      <c r="A50" s="209">
        <f t="shared" ref="A50:A51" si="219">Y50+Z50+AA50+AB50</f>
        <v>4</v>
      </c>
      <c r="B50" s="209" t="str">
        <f>'Team Setup'!B51</f>
        <v>FK Astana</v>
      </c>
      <c r="C50" s="210">
        <f>SUMPRODUCT(('Group Stages'!$I$10:$I$153&lt;&gt;"")*('Group Stages'!$K$10:$K$153&lt;&gt;"")*('Group Stages'!$G$10:$G$153='Dummy Table'!$B50)*('Group Stages'!$I$10:$I$153&gt;'Group Stages'!$K$10:$K$153))</f>
        <v>0</v>
      </c>
      <c r="D50" s="210">
        <f>SUMPRODUCT(('Group Stages'!$I$10:$I$153&lt;&gt;"")*('Group Stages'!$K$10:$K$153&lt;&gt;"")*('Group Stages'!$G$10:$G$153='Dummy Table'!$B50)*('Group Stages'!$I$10:$I$153='Group Stages'!$K$10:$K$153))</f>
        <v>0</v>
      </c>
      <c r="E50" s="210">
        <f>SUMPRODUCT(('Group Stages'!$I$10:$I$153&lt;&gt;"")*('Group Stages'!$K$10:$K$153&lt;&gt;"")*('Group Stages'!$G$10:$G$153='Dummy Table'!$B50)*('Group Stages'!$I$10:$I$153&lt;'Group Stages'!$K$10:$K$153))</f>
        <v>2</v>
      </c>
      <c r="F50" s="210">
        <f>SUMIF('Group Stages'!$G$10:$G$153,'Dummy Table'!$B50,'Group Stages'!$I$10:$I$153)</f>
        <v>0</v>
      </c>
      <c r="G50" s="210">
        <f>SUMIF('Group Stages'!$G$10:$G$153,'Dummy Table'!$B50,'Group Stages'!$K$10:$K$153)</f>
        <v>0</v>
      </c>
      <c r="H50" s="210">
        <f t="shared" ref="H50:H51" si="220">F50-G50</f>
        <v>0</v>
      </c>
      <c r="I50" s="210">
        <f t="shared" ref="I50:I51" si="221">C50*3+D50*1</f>
        <v>0</v>
      </c>
      <c r="J50" s="209">
        <f>SUMPRODUCT(('Group Stages'!$I$10:$I$153&lt;&gt;"")*('Group Stages'!$K$10:$K$153&lt;&gt;"")*('Group Stages'!$M$10:$M$153='Dummy Table'!$B50)*('Group Stages'!$I$10:$I$153&lt;'Group Stages'!$K$10:$K$153))</f>
        <v>0</v>
      </c>
      <c r="K50" s="209">
        <f>SUMPRODUCT(('Group Stages'!$I$10:$I$153&lt;&gt;"")*('Group Stages'!$K$10:$K$153&lt;&gt;"")*('Group Stages'!$M$10:$M$153='Dummy Table'!$B50)*('Group Stages'!$I$10:$I$153='Group Stages'!$K$10:$K$153))</f>
        <v>0</v>
      </c>
      <c r="L50" s="209">
        <f>SUMPRODUCT(('Group Stages'!$I$10:$I$153&lt;&gt;"")*('Group Stages'!$K$10:$K$153&lt;&gt;"")*('Group Stages'!$M$10:$M$153='Dummy Table'!$B50)*('Group Stages'!$I$10:$I$153&gt;'Group Stages'!$K$10:$K$153))</f>
        <v>2</v>
      </c>
      <c r="M50" s="209">
        <f>SUMIF('Group Stages'!$M$10:$M$153,'Dummy Table'!$B50,'Group Stages'!$K$10:$K$153)</f>
        <v>0</v>
      </c>
      <c r="N50" s="209">
        <f>SUMIF('Group Stages'!$M$10:$M$153,'Dummy Table'!$B50,'Group Stages'!$I$10:$I$153)</f>
        <v>0</v>
      </c>
      <c r="O50" s="209">
        <f t="shared" ref="O50:O51" si="222">M50-N50</f>
        <v>0</v>
      </c>
      <c r="P50" s="209">
        <f t="shared" ref="P50:P51" si="223">J50*3+K50*1</f>
        <v>0</v>
      </c>
      <c r="Q50" s="209">
        <f t="shared" ref="Q50:Q51" si="224">C50+J50</f>
        <v>0</v>
      </c>
      <c r="R50" s="209">
        <f t="shared" ref="R50:R51" si="225">D50+K50</f>
        <v>0</v>
      </c>
      <c r="S50" s="209">
        <f t="shared" ref="S50:S51" si="226">E50+L50</f>
        <v>4</v>
      </c>
      <c r="T50" s="209">
        <f t="shared" ref="T50:T51" si="227">F50+M50</f>
        <v>0</v>
      </c>
      <c r="U50" s="209">
        <f t="shared" ref="U50:U51" si="228">G50+N50</f>
        <v>0</v>
      </c>
      <c r="V50" s="209">
        <f t="shared" ref="V50:V51" si="229">H50+O50</f>
        <v>0</v>
      </c>
      <c r="W50" s="209">
        <f t="shared" ref="W50:W51" si="230">I50+P50</f>
        <v>0</v>
      </c>
      <c r="X50" s="210">
        <f>IF('Team Setup'!F51&lt;&gt;"",'Team Setup'!F51,DI50)</f>
        <v>26000</v>
      </c>
      <c r="Y50" s="210">
        <f>RANK(W50,W$48:W$51)</f>
        <v>4</v>
      </c>
      <c r="Z50" s="210">
        <f>SUMPRODUCT((W$48:W$51=W50)*(V$48:V$51&gt;V50))</f>
        <v>0</v>
      </c>
      <c r="AA50" s="210">
        <f>SUMPRODUCT((Y$48:Y$51=Y50)*(Z$48:Z$51=Z50)*(T$48:T$51&gt;T50))</f>
        <v>0</v>
      </c>
      <c r="AB50" s="210">
        <f>SUMPRODUCT((Y$48:Y$51=Y50)*(Z$48:Z$51=Z50)*(T$48:T$51=T50)*(X$48:X$51&gt;X50))</f>
        <v>0</v>
      </c>
      <c r="AC50" s="209">
        <v>3</v>
      </c>
      <c r="AD50" s="209" t="str">
        <f>VLOOKUP(AC50,$A$48:$B$51,2,FALSE)</f>
        <v>Partizan</v>
      </c>
      <c r="AE50" s="209">
        <f>VLOOKUP($AD50,$B$48:$W$51,22,FALSE)</f>
        <v>4</v>
      </c>
      <c r="AF50" s="209" t="str">
        <f t="shared" ref="AF50" si="231">IF(AE50=AE49,AD50,"")</f>
        <v/>
      </c>
      <c r="AG50" s="210">
        <f>SUMPRODUCT(($BK$4:$BK$147='Dummy Table'!$AF50)*($BL$4:$BL$147&gt;$BM$4:$BM$147))</f>
        <v>0</v>
      </c>
      <c r="AH50" s="210">
        <f>SUMPRODUCT(($BK$4:$BK$147='Dummy Table'!$AF50)*($BL$4:$BL$147=$BM$4:$BM$147))</f>
        <v>134</v>
      </c>
      <c r="AI50" s="210">
        <f>SUMPRODUCT(($BK$4:$BK$147='Dummy Table'!$AF50)*($BL$4:$BL$147&lt;$BM$4:$BM$147))</f>
        <v>0</v>
      </c>
      <c r="AJ50" s="210">
        <f>SUMIF($BK$4:$BK$147,'Dummy Table'!$AF50,$BL$4:$BL$147)</f>
        <v>0</v>
      </c>
      <c r="AK50" s="210">
        <f>SUMIF($BK$4:$BK$147,'Dummy Table'!$AF50,$BM$4:$BM$147)</f>
        <v>0</v>
      </c>
      <c r="AL50" s="210">
        <f t="shared" si="148"/>
        <v>0</v>
      </c>
      <c r="AM50" s="210" t="str">
        <f t="shared" si="149"/>
        <v/>
      </c>
      <c r="AN50" s="210">
        <f>SUMPRODUCT(($BN$4:$BN$147='Dummy Table'!$AF50)*($BL$4:$BL$147&lt;$BM$4:$BM$147))</f>
        <v>0</v>
      </c>
      <c r="AO50" s="210">
        <f>SUMPRODUCT(($BN$4:$BN$147='Dummy Table'!$AF50)*($BL$4:$BL$147=$BM$4:$BM$147))</f>
        <v>134</v>
      </c>
      <c r="AP50" s="210">
        <f>SUMPRODUCT(($BN$4:$BN$147='Dummy Table'!$AF50)*($BL$4:$BL$147&gt;$BM$4:$BM$147))</f>
        <v>0</v>
      </c>
      <c r="AQ50" s="210">
        <f>SUMIF($BN$4:$BN$147,'Dummy Table'!$AF50,$BM$4:$BM$147)</f>
        <v>0</v>
      </c>
      <c r="AR50" s="210">
        <f>SUMIF($BN$4:$BN$147,'Dummy Table'!$AF50,$BL$4:$BL$147)</f>
        <v>0</v>
      </c>
      <c r="AS50" s="210">
        <f t="shared" si="150"/>
        <v>0</v>
      </c>
      <c r="AT50" s="210" t="str">
        <f t="shared" si="151"/>
        <v/>
      </c>
      <c r="AU50" s="210">
        <f t="shared" si="152"/>
        <v>0</v>
      </c>
      <c r="AV50" s="210">
        <f t="shared" si="153"/>
        <v>268</v>
      </c>
      <c r="AW50" s="210">
        <f t="shared" si="154"/>
        <v>0</v>
      </c>
      <c r="AX50" s="210">
        <f t="shared" si="155"/>
        <v>0</v>
      </c>
      <c r="AY50" s="210">
        <f t="shared" si="156"/>
        <v>0</v>
      </c>
      <c r="AZ50" s="210">
        <f t="shared" si="157"/>
        <v>0</v>
      </c>
      <c r="BA50" s="210">
        <f t="shared" si="158"/>
        <v>-1</v>
      </c>
      <c r="BB50" s="209" t="str">
        <f t="shared" si="2"/>
        <v/>
      </c>
      <c r="BC50" s="209" t="str">
        <f t="shared" si="3"/>
        <v/>
      </c>
      <c r="BD50" s="209" t="str">
        <f t="shared" si="4"/>
        <v/>
      </c>
      <c r="BE50" s="209">
        <f>RANK(BA50,BA$48:BA$51)</f>
        <v>1</v>
      </c>
      <c r="BF50" s="209">
        <f>SUMPRODUCT((BA$48:BA$51=BA50)*(AZ$48:AZ$51&gt;AZ50))</f>
        <v>0</v>
      </c>
      <c r="BG50" s="209">
        <f>SUMPRODUCT((BA$48:BA$51=BA50)*(BE$48:BE$51=BE50)*(AZ$48:AZ$51=AZ50)*(AQ$48:AQ$51&gt;AQ50))</f>
        <v>0</v>
      </c>
      <c r="BH50" s="209">
        <f>SUMPRODUCT((BA$48:BA$51=BA50)*(BE$48:BE$51=BE50)*(AZ$48:AZ$51=AZ50)*(AQ$48:AQ$51=AQ50)*(BB$48:BB$51&gt;BB50))</f>
        <v>0</v>
      </c>
      <c r="BI50" s="209">
        <f>SUMPRODUCT((BA$48:BA$51=BA50)*(BE$48:BE$51=BE50)*(AZ$48:AZ$51=AZ50)*(AQ$48:AQ$51=AQ50)*(BB$48:BB$51=BB50)*(BC$48:BC$51&gt;BC50))</f>
        <v>0</v>
      </c>
      <c r="BJ50" s="209">
        <f>SUMPRODUCT((BA$48:BA$51=BA50)*(BE$48:BE$51=BE50)*(AZ$48:AZ$51=AZ50)*(AQ$48:AQ$51=AQ50)*(BB$48:BB$51=BB50)*(BC$48:BC$51=BC50)*(BD$48:BD$51&gt;BD50))</f>
        <v>0</v>
      </c>
      <c r="BK50" s="209" t="str">
        <f>IF(AND(COUNTIF($AF$4:$AF$35,'Group Stages'!G56)&gt;0,COUNTIF($AF$4:$AF$35,'Group Stages'!M56)&gt;0,'Group Stages'!I56&lt;&gt;"",'Group Stages'!K56&lt;&gt;""),'Group Stages'!G56,"")</f>
        <v/>
      </c>
      <c r="BL50" s="209" t="str">
        <f>IF($BK50&lt;&gt;"",'Group Stages'!I56,"")</f>
        <v/>
      </c>
      <c r="BM50" s="209" t="str">
        <f>IF($BK50&lt;&gt;"",'Group Stages'!K56,"")</f>
        <v/>
      </c>
      <c r="BN50" s="209" t="str">
        <f>IF($BK50&lt;&gt;"",'Group Stages'!M56,"")</f>
        <v/>
      </c>
      <c r="BO50" s="209" t="str">
        <f t="shared" si="159"/>
        <v/>
      </c>
      <c r="BP50" s="209" t="str">
        <f t="shared" si="160"/>
        <v/>
      </c>
      <c r="BQ50" s="209">
        <f>VLOOKUP($AD50,$B$48:$W$51,22,FALSE)</f>
        <v>4</v>
      </c>
      <c r="BR50" s="209" t="str">
        <f t="shared" ref="BR50" si="232">IF(AND(BQ50&lt;&gt;BQ49,BQ50=BQ51),AD50,"")</f>
        <v/>
      </c>
      <c r="BS50" s="217">
        <f>SUMPRODUCT(($CW$4:$CW$147='Dummy Table'!$BR50)*($CX$4:$CX$147&gt;$CY$4:$CY$147))</f>
        <v>0</v>
      </c>
      <c r="BT50" s="217">
        <f>SUMPRODUCT(($CW$4:$CW$147='Dummy Table'!$BR50)*($CX$4:$CX$147=$CY$4:$CY$147))</f>
        <v>142</v>
      </c>
      <c r="BU50" s="217">
        <f>SUMPRODUCT(($CW$4:$CW$147='Dummy Table'!$BR50)*($CX$4:$CX$147&lt;$CY$4:$CY$147))</f>
        <v>0</v>
      </c>
      <c r="BV50" s="217">
        <f>SUMIF($CW$4:$CW$147,'Dummy Table'!$BR50,$CX$4:$CX$147)</f>
        <v>0</v>
      </c>
      <c r="BW50" s="217">
        <f>SUMIF($CW$4:$CW$147,'Dummy Table'!$BR50,$CY$4:$CY$147)</f>
        <v>0</v>
      </c>
      <c r="BX50" s="217">
        <f t="shared" si="161"/>
        <v>0</v>
      </c>
      <c r="BY50" s="217" t="str">
        <f t="shared" si="162"/>
        <v/>
      </c>
      <c r="BZ50" s="217">
        <f>SUMPRODUCT(($CZ$4:$CZ$147='Dummy Table'!$BR50)*($CX$4:$CX$147&lt;$CY$4:$CY$147))</f>
        <v>0</v>
      </c>
      <c r="CA50" s="217">
        <f>SUMPRODUCT(($CZ$4:$CZ$147='Dummy Table'!$BR50)*($CX$4:$CX$147=$CY$4:$CY$147))</f>
        <v>142</v>
      </c>
      <c r="CB50" s="217">
        <f>SUMPRODUCT(($CZ$4:$CZ$147='Dummy Table'!$BR50)*($CX$4:$CX$147&gt;$CY$4:$CY$147))</f>
        <v>0</v>
      </c>
      <c r="CC50" s="217">
        <f>SUMIF($CZ$4:$CZ$147,'Dummy Table'!$BR50,$CY$4:$CY$147)</f>
        <v>0</v>
      </c>
      <c r="CD50" s="217">
        <f>SUMIF($CZ$4:$CZ$147,'Dummy Table'!$BR50,$CX$4:$CX$147)</f>
        <v>0</v>
      </c>
      <c r="CE50" s="217">
        <f t="shared" si="163"/>
        <v>0</v>
      </c>
      <c r="CF50" s="217" t="str">
        <f t="shared" si="164"/>
        <v/>
      </c>
      <c r="CG50" s="217">
        <f t="shared" si="165"/>
        <v>0</v>
      </c>
      <c r="CH50" s="217">
        <f t="shared" si="166"/>
        <v>284</v>
      </c>
      <c r="CI50" s="217">
        <f t="shared" si="167"/>
        <v>0</v>
      </c>
      <c r="CJ50" s="217">
        <f t="shared" si="168"/>
        <v>0</v>
      </c>
      <c r="CK50" s="217">
        <f t="shared" si="169"/>
        <v>0</v>
      </c>
      <c r="CL50" s="217">
        <f t="shared" si="170"/>
        <v>0</v>
      </c>
      <c r="CM50" s="217">
        <f t="shared" si="171"/>
        <v>-1</v>
      </c>
      <c r="CN50" s="210">
        <f t="shared" si="172"/>
        <v>26000</v>
      </c>
      <c r="CO50" s="210">
        <f>SUMIF($CZ$4:$CZ$147,'Dummy Table'!$BR50,$CY$4:$CY$147)*2</f>
        <v>0</v>
      </c>
      <c r="CP50" s="210">
        <f>RANK(CM50,CM$48:CM$51)</f>
        <v>1</v>
      </c>
      <c r="CR50" s="210">
        <f>SUMPRODUCT((CM$48:CM$51=CM50)*(CL$48:CL$51&gt;CL50))</f>
        <v>0</v>
      </c>
      <c r="CS50" s="210">
        <f>SUMPRODUCT((CP$48:CP$51=CP50)*(CR$48:CR$51=CR50)*(CO$48:CO$51&gt;CO50))</f>
        <v>0</v>
      </c>
      <c r="CT50" s="210">
        <f>IF(BR50&lt;&gt;"",SUMPRODUCT((CP$48:CP$51=CP50)*(CR$48:CR$51=CR50)*(CS$48:CS$51=CS50)*(V$48:V$51&gt;V50)),0)</f>
        <v>0</v>
      </c>
      <c r="CU50" s="210">
        <f>IF($BR50&lt;&gt;"",SUMPRODUCT((CP$48:CP$51=CP50)*(CR$48:CR$51=CR50)*(CS$48:CS$51=CS50)*(CT$48:CT$51=CT50)*(T$48:T$51&gt;T50)),0)</f>
        <v>0</v>
      </c>
      <c r="CV50" s="210">
        <f>SUMPRODUCT((CP$48:CP$51=CP50)*(CR$48:CR$51=CR50)*(CS$48:CS$51=CS50)*(CT$48:CT$51=CT50)*(CU$48:CU$51=CU50)*(CN$48:CN$51&gt;CN50))</f>
        <v>1</v>
      </c>
      <c r="CW50" s="209" t="str">
        <f>IF(AND(COUNTIF($BR$4:$BR$35,'Group Stages'!$G56)&gt;0,COUNTIF($BR$4:$BR$35,'Group Stages'!$M56)&gt;0),'Group Stages'!$G56,"")</f>
        <v/>
      </c>
      <c r="CX50" s="209" t="str">
        <f>IF($CW50&lt;&gt;"",'Group Stages'!$I56,"")</f>
        <v/>
      </c>
      <c r="CY50" s="209" t="str">
        <f>IF($CW50&lt;&gt;"",'Group Stages'!$K56,"")</f>
        <v/>
      </c>
      <c r="CZ50" s="209" t="str">
        <f>IF($CW50&lt;&gt;"",'Group Stages'!$M56,"")</f>
        <v/>
      </c>
      <c r="DA50" s="210" t="str">
        <f t="shared" si="173"/>
        <v/>
      </c>
      <c r="DB50" s="209" t="str">
        <f t="shared" si="174"/>
        <v/>
      </c>
      <c r="DC50" s="209">
        <v>3</v>
      </c>
      <c r="DD50" s="209" t="str">
        <f t="shared" si="175"/>
        <v>Partizan</v>
      </c>
      <c r="DE50" s="209" t="str">
        <f t="shared" ref="DE50" si="233">IF(AND(DD50="",DD49="",DD48=""),DC50,IF(AND(DD48&lt;&gt;"",DD49="",DD50=""),2,IF(AND(DD48&lt;&gt;"",DD49&lt;&gt;"",DD50=""),1,"")))</f>
        <v/>
      </c>
      <c r="DF50" s="209" t="str">
        <f>VLOOKUP(DE50,$BO$48:$BP$51,2,FALSE)</f>
        <v/>
      </c>
      <c r="DG50" s="209">
        <v>3</v>
      </c>
      <c r="DH50" s="209" t="str">
        <f t="shared" ref="DH50" si="234">IF(DB50&lt;&gt;"",IF(DA50&lt;DA51,DB50,DB51),IF(DF50&lt;&gt;"",DF50,DD50))</f>
        <v>Partizan</v>
      </c>
      <c r="DI50" s="209">
        <v>47</v>
      </c>
    </row>
    <row r="51" spans="1:113">
      <c r="A51" s="209">
        <f t="shared" si="219"/>
        <v>2</v>
      </c>
      <c r="B51" s="209" t="str">
        <f>'Team Setup'!B52</f>
        <v>AZ Alkmaar</v>
      </c>
      <c r="C51" s="210">
        <f>SUMPRODUCT(('Group Stages'!$I$10:$I$153&lt;&gt;"")*('Group Stages'!$K$10:$K$153&lt;&gt;"")*('Group Stages'!$G$10:$G$153='Dummy Table'!$B51)*('Group Stages'!$I$10:$I$153&gt;'Group Stages'!$K$10:$K$153))</f>
        <v>1</v>
      </c>
      <c r="D51" s="210">
        <f>SUMPRODUCT(('Group Stages'!$I$10:$I$153&lt;&gt;"")*('Group Stages'!$K$10:$K$153&lt;&gt;"")*('Group Stages'!$G$10:$G$153='Dummy Table'!$B51)*('Group Stages'!$I$10:$I$153='Group Stages'!$K$10:$K$153))</f>
        <v>1</v>
      </c>
      <c r="E51" s="210">
        <f>SUMPRODUCT(('Group Stages'!$I$10:$I$153&lt;&gt;"")*('Group Stages'!$K$10:$K$153&lt;&gt;"")*('Group Stages'!$G$10:$G$153='Dummy Table'!$B51)*('Group Stages'!$I$10:$I$153&lt;'Group Stages'!$K$10:$K$153))</f>
        <v>0</v>
      </c>
      <c r="F51" s="210">
        <f>SUMIF('Group Stages'!$G$10:$G$153,'Dummy Table'!$B51,'Group Stages'!$I$10:$I$153)</f>
        <v>0</v>
      </c>
      <c r="G51" s="210">
        <f>SUMIF('Group Stages'!$G$10:$G$153,'Dummy Table'!$B51,'Group Stages'!$K$10:$K$153)</f>
        <v>0</v>
      </c>
      <c r="H51" s="210">
        <f t="shared" si="220"/>
        <v>0</v>
      </c>
      <c r="I51" s="210">
        <f t="shared" si="221"/>
        <v>4</v>
      </c>
      <c r="J51" s="209">
        <f>SUMPRODUCT(('Group Stages'!$I$10:$I$153&lt;&gt;"")*('Group Stages'!$K$10:$K$153&lt;&gt;"")*('Group Stages'!$M$10:$M$153='Dummy Table'!$B51)*('Group Stages'!$I$10:$I$153&lt;'Group Stages'!$K$10:$K$153))</f>
        <v>1</v>
      </c>
      <c r="K51" s="209">
        <f>SUMPRODUCT(('Group Stages'!$I$10:$I$153&lt;&gt;"")*('Group Stages'!$K$10:$K$153&lt;&gt;"")*('Group Stages'!$M$10:$M$153='Dummy Table'!$B51)*('Group Stages'!$I$10:$I$153='Group Stages'!$K$10:$K$153))</f>
        <v>1</v>
      </c>
      <c r="L51" s="209">
        <f>SUMPRODUCT(('Group Stages'!$I$10:$I$153&lt;&gt;"")*('Group Stages'!$K$10:$K$153&lt;&gt;"")*('Group Stages'!$M$10:$M$153='Dummy Table'!$B51)*('Group Stages'!$I$10:$I$153&gt;'Group Stages'!$K$10:$K$153))</f>
        <v>0</v>
      </c>
      <c r="M51" s="209">
        <f>SUMIF('Group Stages'!$M$10:$M$153,'Dummy Table'!$B51,'Group Stages'!$K$10:$K$153)</f>
        <v>0</v>
      </c>
      <c r="N51" s="209">
        <f>SUMIF('Group Stages'!$M$10:$M$153,'Dummy Table'!$B51,'Group Stages'!$I$10:$I$153)</f>
        <v>0</v>
      </c>
      <c r="O51" s="209">
        <f t="shared" si="222"/>
        <v>0</v>
      </c>
      <c r="P51" s="209">
        <f t="shared" si="223"/>
        <v>4</v>
      </c>
      <c r="Q51" s="209">
        <f t="shared" si="224"/>
        <v>2</v>
      </c>
      <c r="R51" s="209">
        <f t="shared" si="225"/>
        <v>2</v>
      </c>
      <c r="S51" s="209">
        <f t="shared" si="226"/>
        <v>0</v>
      </c>
      <c r="T51" s="209">
        <f t="shared" si="227"/>
        <v>0</v>
      </c>
      <c r="U51" s="209">
        <f t="shared" si="228"/>
        <v>0</v>
      </c>
      <c r="V51" s="209">
        <f t="shared" si="229"/>
        <v>0</v>
      </c>
      <c r="W51" s="209">
        <f t="shared" si="230"/>
        <v>8</v>
      </c>
      <c r="X51" s="210">
        <f>IF('Team Setup'!F52&lt;&gt;"",'Team Setup'!F52,DI51)</f>
        <v>16500</v>
      </c>
      <c r="Y51" s="210">
        <f>RANK(W51,W$48:W$51)</f>
        <v>2</v>
      </c>
      <c r="Z51" s="210">
        <f>SUMPRODUCT((W$48:W$51=W51)*(V$48:V$51&gt;V51))</f>
        <v>0</v>
      </c>
      <c r="AA51" s="210">
        <f>SUMPRODUCT((Y$48:Y$51=Y51)*(Z$48:Z$51=Z51)*(T$48:T$51&gt;T51))</f>
        <v>0</v>
      </c>
      <c r="AB51" s="210">
        <f>SUMPRODUCT((Y$48:Y$51=Y51)*(Z$48:Z$51=Z51)*(T$48:T$51=T51)*(X$48:X$51&gt;X51))</f>
        <v>0</v>
      </c>
      <c r="AC51" s="209">
        <v>4</v>
      </c>
      <c r="AD51" s="209" t="str">
        <f>VLOOKUP(AC51,$A$48:$B$51,2,FALSE)</f>
        <v>FK Astana</v>
      </c>
      <c r="AE51" s="209">
        <f>VLOOKUP($AD51,$B$48:$W$51,22,FALSE)</f>
        <v>0</v>
      </c>
      <c r="AF51" s="209" t="str">
        <f t="shared" ref="AF51" si="235">IF(AND(AE51=AE50,AE50=AE49),AD51,"")</f>
        <v/>
      </c>
      <c r="AG51" s="210">
        <f>SUMPRODUCT(($BK$4:$BK$147='Dummy Table'!$AF51)*($BL$4:$BL$147&gt;$BM$4:$BM$147))</f>
        <v>0</v>
      </c>
      <c r="AH51" s="210">
        <f>SUMPRODUCT(($BK$4:$BK$147='Dummy Table'!$AF51)*($BL$4:$BL$147=$BM$4:$BM$147))</f>
        <v>134</v>
      </c>
      <c r="AI51" s="210">
        <f>SUMPRODUCT(($BK$4:$BK$147='Dummy Table'!$AF51)*($BL$4:$BL$147&lt;$BM$4:$BM$147))</f>
        <v>0</v>
      </c>
      <c r="AJ51" s="210">
        <f>SUMIF($BK$4:$BK$147,'Dummy Table'!$AF51,$BL$4:$BL$147)</f>
        <v>0</v>
      </c>
      <c r="AK51" s="210">
        <f>SUMIF($BK$4:$BK$147,'Dummy Table'!$AF51,$BM$4:$BM$147)</f>
        <v>0</v>
      </c>
      <c r="AL51" s="210">
        <f t="shared" si="148"/>
        <v>0</v>
      </c>
      <c r="AM51" s="210" t="str">
        <f t="shared" si="149"/>
        <v/>
      </c>
      <c r="AN51" s="210">
        <f>SUMPRODUCT(($BN$4:$BN$147='Dummy Table'!$AF51)*($BL$4:$BL$147&lt;$BM$4:$BM$147))</f>
        <v>0</v>
      </c>
      <c r="AO51" s="210">
        <f>SUMPRODUCT(($BN$4:$BN$147='Dummy Table'!$AF51)*($BL$4:$BL$147=$BM$4:$BM$147))</f>
        <v>134</v>
      </c>
      <c r="AP51" s="210">
        <f>SUMPRODUCT(($BN$4:$BN$147='Dummy Table'!$AF51)*($BL$4:$BL$147&gt;$BM$4:$BM$147))</f>
        <v>0</v>
      </c>
      <c r="AQ51" s="210">
        <f>SUMIF($BN$4:$BN$147,'Dummy Table'!$AF51,$BM$4:$BM$147)</f>
        <v>0</v>
      </c>
      <c r="AR51" s="210">
        <f>SUMIF($BN$4:$BN$147,'Dummy Table'!$AF51,$BL$4:$BL$147)</f>
        <v>0</v>
      </c>
      <c r="AS51" s="210">
        <f t="shared" si="150"/>
        <v>0</v>
      </c>
      <c r="AT51" s="210" t="str">
        <f t="shared" si="151"/>
        <v/>
      </c>
      <c r="AU51" s="210">
        <f t="shared" si="152"/>
        <v>0</v>
      </c>
      <c r="AV51" s="210">
        <f t="shared" si="153"/>
        <v>268</v>
      </c>
      <c r="AW51" s="210">
        <f t="shared" si="154"/>
        <v>0</v>
      </c>
      <c r="AX51" s="210">
        <f t="shared" si="155"/>
        <v>0</v>
      </c>
      <c r="AY51" s="210">
        <f t="shared" si="156"/>
        <v>0</v>
      </c>
      <c r="AZ51" s="210">
        <f t="shared" si="157"/>
        <v>0</v>
      </c>
      <c r="BA51" s="210">
        <f t="shared" si="158"/>
        <v>-1</v>
      </c>
      <c r="BB51" s="209" t="str">
        <f t="shared" si="2"/>
        <v/>
      </c>
      <c r="BC51" s="209" t="str">
        <f t="shared" si="3"/>
        <v/>
      </c>
      <c r="BD51" s="209" t="str">
        <f t="shared" si="4"/>
        <v/>
      </c>
      <c r="BE51" s="209">
        <f>RANK(BA51,BA$48:BA$51)</f>
        <v>1</v>
      </c>
      <c r="BF51" s="209">
        <f>SUMPRODUCT((BA$48:BA$51=BA51)*(AZ$48:AZ$51&gt;AZ51))</f>
        <v>0</v>
      </c>
      <c r="BG51" s="209">
        <f>SUMPRODUCT((BA$48:BA$51=BA51)*(BE$48:BE$51=BE51)*(AZ$48:AZ$51=AZ51)*(AQ$48:AQ$51&gt;AQ51))</f>
        <v>0</v>
      </c>
      <c r="BH51" s="209">
        <f>SUMPRODUCT((BA$48:BA$51=BA51)*(BE$48:BE$51=BE51)*(AZ$48:AZ$51=AZ51)*(AQ$48:AQ$51=AQ51)*(BB$48:BB$51&gt;BB51))</f>
        <v>0</v>
      </c>
      <c r="BI51" s="209">
        <f>SUMPRODUCT((BA$48:BA$51=BA51)*(BE$48:BE$51=BE51)*(AZ$48:AZ$51=AZ51)*(AQ$48:AQ$51=AQ51)*(BB$48:BB$51=BB51)*(BC$48:BC$51&gt;BC51))</f>
        <v>0</v>
      </c>
      <c r="BJ51" s="209">
        <f>SUMPRODUCT((BA$48:BA$51=BA51)*(BE$48:BE$51=BE51)*(AZ$48:AZ$51=AZ51)*(AQ$48:AQ$51=AQ51)*(BB$48:BB$51=BB51)*(BC$48:BC$51=BC51)*(BD$48:BD$51&gt;BD51))</f>
        <v>0</v>
      </c>
      <c r="BK51" s="209" t="str">
        <f>IF(AND(COUNTIF($AF$4:$AF$35,'Group Stages'!G57)&gt;0,COUNTIF($AF$4:$AF$35,'Group Stages'!M57)&gt;0,'Group Stages'!I57&lt;&gt;"",'Group Stages'!K57&lt;&gt;""),'Group Stages'!G57,"")</f>
        <v/>
      </c>
      <c r="BL51" s="209" t="str">
        <f>IF($BK51&lt;&gt;"",'Group Stages'!I57,"")</f>
        <v/>
      </c>
      <c r="BM51" s="209" t="str">
        <f>IF($BK51&lt;&gt;"",'Group Stages'!K57,"")</f>
        <v/>
      </c>
      <c r="BN51" s="209" t="str">
        <f>IF($BK51&lt;&gt;"",'Group Stages'!M57,"")</f>
        <v/>
      </c>
      <c r="BO51" s="209" t="str">
        <f t="shared" si="159"/>
        <v/>
      </c>
      <c r="BP51" s="209" t="str">
        <f t="shared" si="160"/>
        <v/>
      </c>
      <c r="BQ51" s="209">
        <f>VLOOKUP($AD51,$B$48:$W$51,22,FALSE)</f>
        <v>0</v>
      </c>
      <c r="BR51" s="209" t="str">
        <f t="shared" ref="BR51" si="236">IF(BR50&lt;&gt;"",AD51,"")</f>
        <v/>
      </c>
      <c r="BS51" s="217">
        <f>SUMPRODUCT(($CW$4:$CW$147='Dummy Table'!$BR51)*($CX$4:$CX$147&gt;$CY$4:$CY$147))</f>
        <v>0</v>
      </c>
      <c r="BT51" s="217">
        <f>SUMPRODUCT(($CW$4:$CW$147='Dummy Table'!$BR51)*($CX$4:$CX$147=$CY$4:$CY$147))</f>
        <v>142</v>
      </c>
      <c r="BU51" s="217">
        <f>SUMPRODUCT(($CW$4:$CW$147='Dummy Table'!$BR51)*($CX$4:$CX$147&lt;$CY$4:$CY$147))</f>
        <v>0</v>
      </c>
      <c r="BV51" s="217">
        <f>SUMIF($CW$4:$CW$147,'Dummy Table'!$BR51,$CX$4:$CX$147)</f>
        <v>0</v>
      </c>
      <c r="BW51" s="217">
        <f>SUMIF($CW$4:$CW$147,'Dummy Table'!$BR51,$CY$4:$CY$147)</f>
        <v>0</v>
      </c>
      <c r="BX51" s="217">
        <f t="shared" si="161"/>
        <v>0</v>
      </c>
      <c r="BY51" s="217" t="str">
        <f t="shared" si="162"/>
        <v/>
      </c>
      <c r="BZ51" s="217">
        <f>SUMPRODUCT(($CZ$4:$CZ$147='Dummy Table'!$BR51)*($CX$4:$CX$147&lt;$CY$4:$CY$147))</f>
        <v>0</v>
      </c>
      <c r="CA51" s="217">
        <f>SUMPRODUCT(($CZ$4:$CZ$147='Dummy Table'!$BR51)*($CX$4:$CX$147=$CY$4:$CY$147))</f>
        <v>142</v>
      </c>
      <c r="CB51" s="217">
        <f>SUMPRODUCT(($CZ$4:$CZ$147='Dummy Table'!$BR51)*($CX$4:$CX$147&gt;$CY$4:$CY$147))</f>
        <v>0</v>
      </c>
      <c r="CC51" s="217">
        <f>SUMIF($CZ$4:$CZ$147,'Dummy Table'!$BR51,$CY$4:$CY$147)</f>
        <v>0</v>
      </c>
      <c r="CD51" s="217">
        <f>SUMIF($CZ$4:$CZ$147,'Dummy Table'!$BR51,$CX$4:$CX$147)</f>
        <v>0</v>
      </c>
      <c r="CE51" s="217">
        <f t="shared" si="163"/>
        <v>0</v>
      </c>
      <c r="CF51" s="217" t="str">
        <f t="shared" si="164"/>
        <v/>
      </c>
      <c r="CG51" s="217">
        <f t="shared" si="165"/>
        <v>0</v>
      </c>
      <c r="CH51" s="217">
        <f t="shared" si="166"/>
        <v>284</v>
      </c>
      <c r="CI51" s="217">
        <f t="shared" si="167"/>
        <v>0</v>
      </c>
      <c r="CJ51" s="217">
        <f t="shared" si="168"/>
        <v>0</v>
      </c>
      <c r="CK51" s="217">
        <f t="shared" si="169"/>
        <v>0</v>
      </c>
      <c r="CL51" s="217">
        <f t="shared" si="170"/>
        <v>0</v>
      </c>
      <c r="CM51" s="217">
        <f t="shared" si="171"/>
        <v>-1</v>
      </c>
      <c r="CN51" s="210">
        <f t="shared" si="172"/>
        <v>16500</v>
      </c>
      <c r="CO51" s="210">
        <f>SUMIF($CZ$4:$CZ$147,'Dummy Table'!$BR51,$CY$4:$CY$147)*2</f>
        <v>0</v>
      </c>
      <c r="CP51" s="210">
        <f>RANK(CM51,CM$48:CM$51)</f>
        <v>1</v>
      </c>
      <c r="CR51" s="210">
        <f>SUMPRODUCT((CM$48:CM$51=CM51)*(CL$48:CL$51&gt;CL51))</f>
        <v>0</v>
      </c>
      <c r="CS51" s="210">
        <f>SUMPRODUCT((CP$48:CP$51=CP51)*(CR$48:CR$51=CR51)*(CO$48:CO$51&gt;CO51))</f>
        <v>0</v>
      </c>
      <c r="CT51" s="210">
        <f>IF(BR51&lt;&gt;"",SUMPRODUCT((CP$48:CP$51=CP51)*(CR$48:CR$51=CR51)*(CS$48:CS$51=CS51)*(V$48:V$51&gt;V51)),0)</f>
        <v>0</v>
      </c>
      <c r="CU51" s="210">
        <f>IF($BR51&lt;&gt;"",SUMPRODUCT((CP$48:CP$51=CP51)*(CR$48:CR$51=CR51)*(CS$48:CS$51=CS51)*(CT$48:CT$51=CT51)*(T$48:T$51&gt;T51)),0)</f>
        <v>0</v>
      </c>
      <c r="CV51" s="210">
        <f>SUMPRODUCT((CP$48:CP$51=CP51)*(CR$48:CR$51=CR51)*(CS$48:CS$51=CS51)*(CT$48:CT$51=CT51)*(CU$48:CU$51=CU51)*(CN$48:CN$51&gt;CN51))</f>
        <v>3</v>
      </c>
      <c r="CW51" s="209" t="str">
        <f>IF(AND(COUNTIF($BR$4:$BR$35,'Group Stages'!$G57)&gt;0,COUNTIF($BR$4:$BR$35,'Group Stages'!$M57)&gt;0),'Group Stages'!$G57,"")</f>
        <v/>
      </c>
      <c r="CX51" s="209" t="str">
        <f>IF($CW51&lt;&gt;"",'Group Stages'!$I57,"")</f>
        <v/>
      </c>
      <c r="CY51" s="209" t="str">
        <f>IF($CW51&lt;&gt;"",'Group Stages'!$K57,"")</f>
        <v/>
      </c>
      <c r="CZ51" s="209" t="str">
        <f>IF($CW51&lt;&gt;"",'Group Stages'!$M57,"")</f>
        <v/>
      </c>
      <c r="DA51" s="210" t="str">
        <f t="shared" si="173"/>
        <v/>
      </c>
      <c r="DB51" s="209" t="str">
        <f t="shared" si="174"/>
        <v/>
      </c>
      <c r="DC51" s="209">
        <v>4</v>
      </c>
      <c r="DD51" s="209" t="str">
        <f t="shared" si="175"/>
        <v>FK Astana</v>
      </c>
      <c r="DE51" s="209" t="str">
        <f t="shared" ref="DE51" si="237">IF(AND(DD51="",DD50="",DD49="",DD48=""),4,IF(AND(DD51="",DD50="",DD49=""),3,IF(AND(DD49&lt;&gt;"",DD50="",DD51=""),2,IF(AND(DD49&lt;&gt;"",DD50&lt;&gt;"",DD51=""),1,""))))</f>
        <v/>
      </c>
      <c r="DF51" s="209" t="str">
        <f>VLOOKUP(DE51,$BO$48:$BP$51,2,FALSE)</f>
        <v/>
      </c>
      <c r="DG51" s="209">
        <v>4</v>
      </c>
      <c r="DH51" s="209" t="str">
        <f t="shared" ref="DH51" si="238">IF(DB51&lt;&gt;"",IF(DA50&lt;DA51,DB51,DB50),IF(DF51&lt;&gt;"",DF51,DD51))</f>
        <v>FK Astana</v>
      </c>
      <c r="DI51" s="209">
        <v>48</v>
      </c>
    </row>
    <row r="52" spans="1:113">
      <c r="BK52" s="209" t="str">
        <f>IF(AND(COUNTIF($AF$4:$AF$35,'Group Stages'!G58)&gt;0,COUNTIF($AF$4:$AF$35,'Group Stages'!M58)&gt;0,'Group Stages'!I58&lt;&gt;"",'Group Stages'!K58&lt;&gt;""),'Group Stages'!G58,"")</f>
        <v>Qarabağ FK</v>
      </c>
      <c r="BL52" s="209" t="str">
        <f>IF($BK52&lt;&gt;"",'Group Stages'!I58,"")</f>
        <v>2</v>
      </c>
      <c r="BM52" s="209" t="str">
        <f>IF($BK52&lt;&gt;"",'Group Stages'!K58,"")</f>
        <v>2</v>
      </c>
      <c r="BN52" s="209" t="str">
        <f>IF($BK52&lt;&gt;"",'Group Stages'!M58,"")</f>
        <v>APOEL Nikosia</v>
      </c>
      <c r="CS52" s="210" t="e">
        <f>#REF!</f>
        <v>#REF!</v>
      </c>
      <c r="CW52" s="209" t="str">
        <f>IF(AND(COUNTIF($BR$4:$BR$35,'Group Stages'!$G58)&gt;0,COUNTIF($BR$4:$BR$35,'Group Stages'!$M58)&gt;0),'Group Stages'!$G58,"")</f>
        <v/>
      </c>
      <c r="CX52" s="209" t="str">
        <f>IF($CW52&lt;&gt;"",'Group Stages'!$I58,"")</f>
        <v/>
      </c>
      <c r="CY52" s="209" t="str">
        <f>IF($CW52&lt;&gt;"",'Group Stages'!$K58,"")</f>
        <v/>
      </c>
      <c r="CZ52" s="209" t="str">
        <f>IF($CW52&lt;&gt;"",'Group Stages'!$M58,"")</f>
        <v/>
      </c>
    </row>
    <row r="53" spans="1:113">
      <c r="BK53" s="209" t="str">
        <f>IF(AND(COUNTIF($AF$4:$AF$35,'Group Stages'!G59)&gt;0,COUNTIF($AF$4:$AF$35,'Group Stages'!M59)&gt;0,'Group Stages'!I59&lt;&gt;"",'Group Stages'!K59&lt;&gt;""),'Group Stages'!G59,"")</f>
        <v/>
      </c>
      <c r="BL53" s="209" t="str">
        <f>IF($BK53&lt;&gt;"",'Group Stages'!I59,"")</f>
        <v/>
      </c>
      <c r="BM53" s="209" t="str">
        <f>IF($BK53&lt;&gt;"",'Group Stages'!K59,"")</f>
        <v/>
      </c>
      <c r="BN53" s="209" t="str">
        <f>IF($BK53&lt;&gt;"",'Group Stages'!M59,"")</f>
        <v/>
      </c>
      <c r="CW53" s="209" t="str">
        <f>IF(AND(COUNTIF($BR$4:$BR$35,'Group Stages'!$G59)&gt;0,COUNTIF($BR$4:$BR$35,'Group Stages'!$M59)&gt;0),'Group Stages'!$G59,"")</f>
        <v/>
      </c>
      <c r="CX53" s="209" t="str">
        <f>IF($CW53&lt;&gt;"",'Group Stages'!$I59,"")</f>
        <v/>
      </c>
      <c r="CY53" s="209" t="str">
        <f>IF($CW53&lt;&gt;"",'Group Stages'!$K59,"")</f>
        <v/>
      </c>
      <c r="CZ53" s="209" t="str">
        <f>IF($CW53&lt;&gt;"",'Group Stages'!$M59,"")</f>
        <v/>
      </c>
    </row>
    <row r="54" spans="1:113">
      <c r="BK54" s="209" t="str">
        <f>IF(AND(COUNTIF($AF$4:$AF$35,'Group Stages'!G60)&gt;0,COUNTIF($AF$4:$AF$35,'Group Stages'!M60)&gt;0,'Group Stages'!I60&lt;&gt;"",'Group Stages'!K60&lt;&gt;""),'Group Stages'!G60,"")</f>
        <v>Dinamo Kiev</v>
      </c>
      <c r="BL54" s="209" t="str">
        <f>IF($BK54&lt;&gt;"",'Group Stages'!I60,"")</f>
        <v>1</v>
      </c>
      <c r="BM54" s="209" t="str">
        <f>IF($BK54&lt;&gt;"",'Group Stages'!K60,"")</f>
        <v>1</v>
      </c>
      <c r="BN54" s="209" t="str">
        <f>IF($BK54&lt;&gt;"",'Group Stages'!M60,"")</f>
        <v>FC København</v>
      </c>
      <c r="CW54" s="209" t="str">
        <f>IF(AND(COUNTIF($BR$4:$BR$35,'Group Stages'!$G60)&gt;0,COUNTIF($BR$4:$BR$35,'Group Stages'!$M60)&gt;0),'Group Stages'!$G60,"")</f>
        <v/>
      </c>
      <c r="CX54" s="209" t="str">
        <f>IF($CW54&lt;&gt;"",'Group Stages'!$I60,"")</f>
        <v/>
      </c>
      <c r="CY54" s="209" t="str">
        <f>IF($CW54&lt;&gt;"",'Group Stages'!$K60,"")</f>
        <v/>
      </c>
      <c r="CZ54" s="209" t="str">
        <f>IF($CW54&lt;&gt;"",'Group Stages'!$M60,"")</f>
        <v/>
      </c>
    </row>
    <row r="55" spans="1:113">
      <c r="BK55" s="209" t="str">
        <f>IF(AND(COUNTIF($AF$4:$AF$35,'Group Stages'!G61)&gt;0,COUNTIF($AF$4:$AF$35,'Group Stages'!M61)&gt;0,'Group Stages'!I61&lt;&gt;"",'Group Stages'!K61&lt;&gt;""),'Group Stages'!G61,"")</f>
        <v/>
      </c>
      <c r="BL55" s="209" t="str">
        <f>IF($BK55&lt;&gt;"",'Group Stages'!I61,"")</f>
        <v/>
      </c>
      <c r="BM55" s="209" t="str">
        <f>IF($BK55&lt;&gt;"",'Group Stages'!K61,"")</f>
        <v/>
      </c>
      <c r="BN55" s="209" t="str">
        <f>IF($BK55&lt;&gt;"",'Group Stages'!M61,"")</f>
        <v/>
      </c>
      <c r="CW55" s="209" t="str">
        <f>IF(AND(COUNTIF($BR$4:$BR$35,'Group Stages'!$G61)&gt;0,COUNTIF($BR$4:$BR$35,'Group Stages'!$M61)&gt;0),'Group Stages'!$G61,"")</f>
        <v/>
      </c>
      <c r="CX55" s="209" t="str">
        <f>IF($CW55&lt;&gt;"",'Group Stages'!$I61,"")</f>
        <v/>
      </c>
      <c r="CY55" s="209" t="str">
        <f>IF($CW55&lt;&gt;"",'Group Stages'!$K61,"")</f>
        <v/>
      </c>
      <c r="CZ55" s="209" t="str">
        <f>IF($CW55&lt;&gt;"",'Group Stages'!$M61,"")</f>
        <v/>
      </c>
    </row>
    <row r="56" spans="1:113">
      <c r="BK56" s="209" t="str">
        <f>IF(AND(COUNTIF($AF$4:$AF$35,'Group Stages'!G62)&gt;0,COUNTIF($AF$4:$AF$35,'Group Stages'!M62)&gt;0,'Group Stages'!I62&lt;&gt;"",'Group Stages'!K62&lt;&gt;""),'Group Stages'!G62,"")</f>
        <v/>
      </c>
      <c r="BL56" s="209" t="str">
        <f>IF($BK56&lt;&gt;"",'Group Stages'!I62,"")</f>
        <v/>
      </c>
      <c r="BM56" s="209" t="str">
        <f>IF($BK56&lt;&gt;"",'Group Stages'!K62,"")</f>
        <v/>
      </c>
      <c r="BN56" s="209" t="str">
        <f>IF($BK56&lt;&gt;"",'Group Stages'!M62,"")</f>
        <v/>
      </c>
      <c r="CW56" s="209" t="str">
        <f>IF(AND(COUNTIF($BR$4:$BR$35,'Group Stages'!$G62)&gt;0,COUNTIF($BR$4:$BR$35,'Group Stages'!$M62)&gt;0),'Group Stages'!$G62,"")</f>
        <v/>
      </c>
      <c r="CX56" s="209" t="str">
        <f>IF($CW56&lt;&gt;"",'Group Stages'!$I62,"")</f>
        <v/>
      </c>
      <c r="CY56" s="209" t="str">
        <f>IF($CW56&lt;&gt;"",'Group Stages'!$K62,"")</f>
        <v/>
      </c>
      <c r="CZ56" s="209" t="str">
        <f>IF($CW56&lt;&gt;"",'Group Stages'!$M62,"")</f>
        <v/>
      </c>
    </row>
    <row r="57" spans="1:113">
      <c r="BK57" s="209" t="str">
        <f>IF(AND(COUNTIF($AF$4:$AF$35,'Group Stages'!G63)&gt;0,COUNTIF($AF$4:$AF$35,'Group Stages'!M63)&gt;0,'Group Stages'!I63&lt;&gt;"",'Group Stages'!K63&lt;&gt;""),'Group Stages'!G63,"")</f>
        <v/>
      </c>
      <c r="BL57" s="209" t="str">
        <f>IF($BK57&lt;&gt;"",'Group Stages'!I63,"")</f>
        <v/>
      </c>
      <c r="BM57" s="209" t="str">
        <f>IF($BK57&lt;&gt;"",'Group Stages'!K63,"")</f>
        <v/>
      </c>
      <c r="BN57" s="209" t="str">
        <f>IF($BK57&lt;&gt;"",'Group Stages'!M63,"")</f>
        <v/>
      </c>
      <c r="CW57" s="209" t="str">
        <f>IF(AND(COUNTIF($BR$4:$BR$35,'Group Stages'!$G63)&gt;0,COUNTIF($BR$4:$BR$35,'Group Stages'!$M63)&gt;0),'Group Stages'!$G63,"")</f>
        <v/>
      </c>
      <c r="CX57" s="209" t="str">
        <f>IF($CW57&lt;&gt;"",'Group Stages'!$I63,"")</f>
        <v/>
      </c>
      <c r="CY57" s="209" t="str">
        <f>IF($CW57&lt;&gt;"",'Group Stages'!$K63,"")</f>
        <v/>
      </c>
      <c r="CZ57" s="209" t="str">
        <f>IF($CW57&lt;&gt;"",'Group Stages'!$M63,"")</f>
        <v/>
      </c>
    </row>
    <row r="58" spans="1:113">
      <c r="BK58" s="209" t="str">
        <f>IF(AND(COUNTIF($AF$4:$AF$35,'Group Stages'!G64)&gt;0,COUNTIF($AF$4:$AF$35,'Group Stages'!M64)&gt;0,'Group Stages'!I64&lt;&gt;"",'Group Stages'!K64&lt;&gt;""),'Group Stages'!G64,"")</f>
        <v>PSV Eindhoven</v>
      </c>
      <c r="BL58" s="209" t="str">
        <f>IF($BK58&lt;&gt;"",'Group Stages'!I64,"")</f>
        <v>0</v>
      </c>
      <c r="BM58" s="209" t="str">
        <f>IF($BK58&lt;&gt;"",'Group Stages'!K64,"")</f>
        <v>0</v>
      </c>
      <c r="BN58" s="209" t="str">
        <f>IF($BK58&lt;&gt;"",'Group Stages'!M64,"")</f>
        <v>LASK</v>
      </c>
      <c r="CW58" s="209" t="str">
        <f>IF(AND(COUNTIF($BR$4:$BR$35,'Group Stages'!$G64)&gt;0,COUNTIF($BR$4:$BR$35,'Group Stages'!$M64)&gt;0),'Group Stages'!$G64,"")</f>
        <v/>
      </c>
      <c r="CX58" s="209" t="str">
        <f>IF($CW58&lt;&gt;"",'Group Stages'!$I64,"")</f>
        <v/>
      </c>
      <c r="CY58" s="209" t="str">
        <f>IF($CW58&lt;&gt;"",'Group Stages'!$K64,"")</f>
        <v/>
      </c>
      <c r="CZ58" s="209" t="str">
        <f>IF($CW58&lt;&gt;"",'Group Stages'!$M64,"")</f>
        <v/>
      </c>
    </row>
    <row r="59" spans="1:113">
      <c r="BK59" s="209" t="str">
        <f>IF(AND(COUNTIF($AF$4:$AF$35,'Group Stages'!G65)&gt;0,COUNTIF($AF$4:$AF$35,'Group Stages'!M65)&gt;0,'Group Stages'!I65&lt;&gt;"",'Group Stages'!K65&lt;&gt;""),'Group Stages'!G65,"")</f>
        <v/>
      </c>
      <c r="BL59" s="209" t="str">
        <f>IF($BK59&lt;&gt;"",'Group Stages'!I65,"")</f>
        <v/>
      </c>
      <c r="BM59" s="209" t="str">
        <f>IF($BK59&lt;&gt;"",'Group Stages'!K65,"")</f>
        <v/>
      </c>
      <c r="BN59" s="209" t="str">
        <f>IF($BK59&lt;&gt;"",'Group Stages'!M65,"")</f>
        <v/>
      </c>
      <c r="CW59" s="209" t="str">
        <f>IF(AND(COUNTIF($BR$4:$BR$35,'Group Stages'!$G65)&gt;0,COUNTIF($BR$4:$BR$35,'Group Stages'!$M65)&gt;0),'Group Stages'!$G65,"")</f>
        <v/>
      </c>
      <c r="CX59" s="209" t="str">
        <f>IF($CW59&lt;&gt;"",'Group Stages'!$I65,"")</f>
        <v/>
      </c>
      <c r="CY59" s="209" t="str">
        <f>IF($CW59&lt;&gt;"",'Group Stages'!$K65,"")</f>
        <v/>
      </c>
      <c r="CZ59" s="209" t="str">
        <f>IF($CW59&lt;&gt;"",'Group Stages'!$M65,"")</f>
        <v/>
      </c>
    </row>
    <row r="60" spans="1:113">
      <c r="BK60" s="209" t="str">
        <f>IF(AND(COUNTIF($AF$4:$AF$35,'Group Stages'!G66)&gt;0,COUNTIF($AF$4:$AF$35,'Group Stages'!M66)&gt;0,'Group Stages'!I66&lt;&gt;"",'Group Stages'!K66&lt;&gt;""),'Group Stages'!G66,"")</f>
        <v/>
      </c>
      <c r="BL60" s="209" t="str">
        <f>IF($BK60&lt;&gt;"",'Group Stages'!I66,"")</f>
        <v/>
      </c>
      <c r="BM60" s="209" t="str">
        <f>IF($BK60&lt;&gt;"",'Group Stages'!K66,"")</f>
        <v/>
      </c>
      <c r="BN60" s="209" t="str">
        <f>IF($BK60&lt;&gt;"",'Group Stages'!M66,"")</f>
        <v/>
      </c>
      <c r="CW60" s="209" t="str">
        <f>IF(AND(COUNTIF($BR$4:$BR$35,'Group Stages'!$G66)&gt;0,COUNTIF($BR$4:$BR$35,'Group Stages'!$M66)&gt;0),'Group Stages'!$G66,"")</f>
        <v/>
      </c>
      <c r="CX60" s="209" t="str">
        <f>IF($CW60&lt;&gt;"",'Group Stages'!$I66,"")</f>
        <v/>
      </c>
      <c r="CY60" s="209" t="str">
        <f>IF($CW60&lt;&gt;"",'Group Stages'!$K66,"")</f>
        <v/>
      </c>
      <c r="CZ60" s="209" t="str">
        <f>IF($CW60&lt;&gt;"",'Group Stages'!$M66,"")</f>
        <v/>
      </c>
    </row>
    <row r="61" spans="1:113">
      <c r="BK61" s="209" t="str">
        <f>IF(AND(COUNTIF($AF$4:$AF$35,'Group Stages'!G67)&gt;0,COUNTIF($AF$4:$AF$35,'Group Stages'!M67)&gt;0,'Group Stages'!I67&lt;&gt;"",'Group Stages'!K67&lt;&gt;""),'Group Stages'!G67,"")</f>
        <v/>
      </c>
      <c r="BL61" s="209" t="str">
        <f>IF($BK61&lt;&gt;"",'Group Stages'!I67,"")</f>
        <v/>
      </c>
      <c r="BM61" s="209" t="str">
        <f>IF($BK61&lt;&gt;"",'Group Stages'!K67,"")</f>
        <v/>
      </c>
      <c r="BN61" s="209" t="str">
        <f>IF($BK61&lt;&gt;"",'Group Stages'!M67,"")</f>
        <v/>
      </c>
      <c r="CW61" s="209" t="str">
        <f>IF(AND(COUNTIF($BR$4:$BR$35,'Group Stages'!$G67)&gt;0,COUNTIF($BR$4:$BR$35,'Group Stages'!$M67)&gt;0),'Group Stages'!$G67,"")</f>
        <v/>
      </c>
      <c r="CX61" s="209" t="str">
        <f>IF($CW61&lt;&gt;"",'Group Stages'!$I67,"")</f>
        <v/>
      </c>
      <c r="CY61" s="209" t="str">
        <f>IF($CW61&lt;&gt;"",'Group Stages'!$K67,"")</f>
        <v/>
      </c>
      <c r="CZ61" s="209" t="str">
        <f>IF($CW61&lt;&gt;"",'Group Stages'!$M67,"")</f>
        <v/>
      </c>
    </row>
    <row r="62" spans="1:113">
      <c r="BK62" s="209" t="str">
        <f>IF(AND(COUNTIF($AF$4:$AF$35,'Group Stages'!G68)&gt;0,COUNTIF($AF$4:$AF$35,'Group Stages'!M68)&gt;0,'Group Stages'!I68&lt;&gt;"",'Group Stages'!K68&lt;&gt;""),'Group Stages'!G68,"")</f>
        <v/>
      </c>
      <c r="BL62" s="209" t="str">
        <f>IF($BK62&lt;&gt;"",'Group Stages'!I68,"")</f>
        <v/>
      </c>
      <c r="BM62" s="209" t="str">
        <f>IF($BK62&lt;&gt;"",'Group Stages'!K68,"")</f>
        <v/>
      </c>
      <c r="BN62" s="209" t="str">
        <f>IF($BK62&lt;&gt;"",'Group Stages'!M68,"")</f>
        <v/>
      </c>
      <c r="CW62" s="209" t="str">
        <f>IF(AND(COUNTIF($BR$4:$BR$35,'Group Stages'!$G68)&gt;0,COUNTIF($BR$4:$BR$35,'Group Stages'!$M68)&gt;0),'Group Stages'!$G68,"")</f>
        <v/>
      </c>
      <c r="CX62" s="209" t="str">
        <f>IF($CW62&lt;&gt;"",'Group Stages'!$I68,"")</f>
        <v/>
      </c>
      <c r="CY62" s="209" t="str">
        <f>IF($CW62&lt;&gt;"",'Group Stages'!$K68,"")</f>
        <v/>
      </c>
      <c r="CZ62" s="209" t="str">
        <f>IF($CW62&lt;&gt;"",'Group Stages'!$M68,"")</f>
        <v/>
      </c>
    </row>
    <row r="63" spans="1:113">
      <c r="BK63" s="209" t="str">
        <f>IF(AND(COUNTIF($AF$4:$AF$35,'Group Stages'!G69)&gt;0,COUNTIF($AF$4:$AF$35,'Group Stages'!M69)&gt;0,'Group Stages'!I69&lt;&gt;"",'Group Stages'!K69&lt;&gt;""),'Group Stages'!G69,"")</f>
        <v>Eintracht Frankfurt</v>
      </c>
      <c r="BL63" s="209" t="str">
        <f>IF($BK63&lt;&gt;"",'Group Stages'!I69,"")</f>
        <v>2</v>
      </c>
      <c r="BM63" s="209" t="str">
        <f>IF($BK63&lt;&gt;"",'Group Stages'!K69,"")</f>
        <v>1</v>
      </c>
      <c r="BN63" s="209" t="str">
        <f>IF($BK63&lt;&gt;"",'Group Stages'!M69,"")</f>
        <v>Standard Liège</v>
      </c>
      <c r="CW63" s="209" t="str">
        <f>IF(AND(COUNTIF($BR$4:$BR$35,'Group Stages'!$G69)&gt;0,COUNTIF($BR$4:$BR$35,'Group Stages'!$M69)&gt;0),'Group Stages'!$G69,"")</f>
        <v/>
      </c>
      <c r="CX63" s="209" t="str">
        <f>IF($CW63&lt;&gt;"",'Group Stages'!$I69,"")</f>
        <v/>
      </c>
      <c r="CY63" s="209" t="str">
        <f>IF($CW63&lt;&gt;"",'Group Stages'!$K69,"")</f>
        <v/>
      </c>
      <c r="CZ63" s="209" t="str">
        <f>IF($CW63&lt;&gt;"",'Group Stages'!$M69,"")</f>
        <v/>
      </c>
    </row>
    <row r="64" spans="1:113">
      <c r="BK64" s="209" t="str">
        <f>IF(AND(COUNTIF($AF$4:$AF$35,'Group Stages'!G70)&gt;0,COUNTIF($AF$4:$AF$35,'Group Stages'!M70)&gt;0,'Group Stages'!I70&lt;&gt;"",'Group Stages'!K70&lt;&gt;""),'Group Stages'!G70,"")</f>
        <v/>
      </c>
      <c r="BL64" s="209" t="str">
        <f>IF($BK64&lt;&gt;"",'Group Stages'!I70,"")</f>
        <v/>
      </c>
      <c r="BM64" s="209" t="str">
        <f>IF($BK64&lt;&gt;"",'Group Stages'!K70,"")</f>
        <v/>
      </c>
      <c r="BN64" s="209" t="str">
        <f>IF($BK64&lt;&gt;"",'Group Stages'!M70,"")</f>
        <v/>
      </c>
      <c r="CW64" s="209" t="str">
        <f>IF(AND(COUNTIF($BR$4:$BR$35,'Group Stages'!$G70)&gt;0,COUNTIF($BR$4:$BR$35,'Group Stages'!$M70)&gt;0),'Group Stages'!$G70,"")</f>
        <v/>
      </c>
      <c r="CX64" s="209" t="str">
        <f>IF($CW64&lt;&gt;"",'Group Stages'!$I70,"")</f>
        <v/>
      </c>
      <c r="CY64" s="209" t="str">
        <f>IF($CW64&lt;&gt;"",'Group Stages'!$K70,"")</f>
        <v/>
      </c>
      <c r="CZ64" s="209" t="str">
        <f>IF($CW64&lt;&gt;"",'Group Stages'!$M70,"")</f>
        <v/>
      </c>
    </row>
    <row r="65" spans="63:104">
      <c r="BK65" s="209" t="str">
        <f>IF(AND(COUNTIF($AF$4:$AF$35,'Group Stages'!G71)&gt;0,COUNTIF($AF$4:$AF$35,'Group Stages'!M71)&gt;0,'Group Stages'!I71&lt;&gt;"",'Group Stages'!K71&lt;&gt;""),'Group Stages'!G71,"")</f>
        <v/>
      </c>
      <c r="BL65" s="209" t="str">
        <f>IF($BK65&lt;&gt;"",'Group Stages'!I71,"")</f>
        <v/>
      </c>
      <c r="BM65" s="209" t="str">
        <f>IF($BK65&lt;&gt;"",'Group Stages'!K71,"")</f>
        <v/>
      </c>
      <c r="BN65" s="209" t="str">
        <f>IF($BK65&lt;&gt;"",'Group Stages'!M71,"")</f>
        <v/>
      </c>
      <c r="CW65" s="209" t="str">
        <f>IF(AND(COUNTIF($BR$4:$BR$35,'Group Stages'!$G71)&gt;0,COUNTIF($BR$4:$BR$35,'Group Stages'!$M71)&gt;0),'Group Stages'!$G71,"")</f>
        <v/>
      </c>
      <c r="CX65" s="209" t="str">
        <f>IF($CW65&lt;&gt;"",'Group Stages'!$I71,"")</f>
        <v/>
      </c>
      <c r="CY65" s="209" t="str">
        <f>IF($CW65&lt;&gt;"",'Group Stages'!$K71,"")</f>
        <v/>
      </c>
      <c r="CZ65" s="209" t="str">
        <f>IF($CW65&lt;&gt;"",'Group Stages'!$M71,"")</f>
        <v/>
      </c>
    </row>
    <row r="66" spans="63:104">
      <c r="BK66" s="209" t="str">
        <f>IF(AND(COUNTIF($AF$4:$AF$35,'Group Stages'!G72)&gt;0,COUNTIF($AF$4:$AF$35,'Group Stages'!M72)&gt;0,'Group Stages'!I72&lt;&gt;"",'Group Stages'!K72&lt;&gt;""),'Group Stages'!G72,"")</f>
        <v/>
      </c>
      <c r="BL66" s="209" t="str">
        <f>IF($BK66&lt;&gt;"",'Group Stages'!I72,"")</f>
        <v/>
      </c>
      <c r="BM66" s="209" t="str">
        <f>IF($BK66&lt;&gt;"",'Group Stages'!K72,"")</f>
        <v/>
      </c>
      <c r="BN66" s="209" t="str">
        <f>IF($BK66&lt;&gt;"",'Group Stages'!M72,"")</f>
        <v/>
      </c>
      <c r="CW66" s="209" t="str">
        <f>IF(AND(COUNTIF($BR$4:$BR$35,'Group Stages'!$G72)&gt;0,COUNTIF($BR$4:$BR$35,'Group Stages'!$M72)&gt;0),'Group Stages'!$G72,"")</f>
        <v/>
      </c>
      <c r="CX66" s="209" t="str">
        <f>IF($CW66&lt;&gt;"",'Group Stages'!$I72,"")</f>
        <v/>
      </c>
      <c r="CY66" s="209" t="str">
        <f>IF($CW66&lt;&gt;"",'Group Stages'!$K72,"")</f>
        <v/>
      </c>
      <c r="CZ66" s="209" t="str">
        <f>IF($CW66&lt;&gt;"",'Group Stages'!$M72,"")</f>
        <v/>
      </c>
    </row>
    <row r="67" spans="63:104">
      <c r="BK67" s="209" t="str">
        <f>IF(AND(COUNTIF($AF$4:$AF$35,'Group Stages'!G73)&gt;0,COUNTIF($AF$4:$AF$35,'Group Stages'!M73)&gt;0,'Group Stages'!I73&lt;&gt;"",'Group Stages'!K73&lt;&gt;""),'Group Stages'!G73,"")</f>
        <v/>
      </c>
      <c r="BL67" s="209" t="str">
        <f>IF($BK67&lt;&gt;"",'Group Stages'!I73,"")</f>
        <v/>
      </c>
      <c r="BM67" s="209" t="str">
        <f>IF($BK67&lt;&gt;"",'Group Stages'!K73,"")</f>
        <v/>
      </c>
      <c r="BN67" s="209" t="str">
        <f>IF($BK67&lt;&gt;"",'Group Stages'!M73,"")</f>
        <v/>
      </c>
      <c r="CW67" s="209" t="str">
        <f>IF(AND(COUNTIF($BR$4:$BR$35,'Group Stages'!$G73)&gt;0,COUNTIF($BR$4:$BR$35,'Group Stages'!$M73)&gt;0),'Group Stages'!$G73,"")</f>
        <v/>
      </c>
      <c r="CX67" s="209" t="str">
        <f>IF($CW67&lt;&gt;"",'Group Stages'!$I73,"")</f>
        <v/>
      </c>
      <c r="CY67" s="209" t="str">
        <f>IF($CW67&lt;&gt;"",'Group Stages'!$K73,"")</f>
        <v/>
      </c>
      <c r="CZ67" s="209" t="str">
        <f>IF($CW67&lt;&gt;"",'Group Stages'!$M73,"")</f>
        <v/>
      </c>
    </row>
    <row r="68" spans="63:104">
      <c r="BK68" s="209" t="str">
        <f>IF(AND(COUNTIF($AF$4:$AF$35,'Group Stages'!G74)&gt;0,COUNTIF($AF$4:$AF$35,'Group Stages'!M74)&gt;0,'Group Stages'!I74&lt;&gt;"",'Group Stages'!K74&lt;&gt;""),'Group Stages'!G74,"")</f>
        <v/>
      </c>
      <c r="BL68" s="209" t="str">
        <f>IF($BK68&lt;&gt;"",'Group Stages'!I74,"")</f>
        <v/>
      </c>
      <c r="BM68" s="209" t="str">
        <f>IF($BK68&lt;&gt;"",'Group Stages'!K74,"")</f>
        <v/>
      </c>
      <c r="BN68" s="209" t="str">
        <f>IF($BK68&lt;&gt;"",'Group Stages'!M74,"")</f>
        <v/>
      </c>
      <c r="CW68" s="209" t="str">
        <f>IF(AND(COUNTIF($BR$4:$BR$35,'Group Stages'!$G74)&gt;0,COUNTIF($BR$4:$BR$35,'Group Stages'!$M74)&gt;0),'Group Stages'!$G74,"")</f>
        <v/>
      </c>
      <c r="CX68" s="209" t="str">
        <f>IF($CW68&lt;&gt;"",'Group Stages'!$I74,"")</f>
        <v/>
      </c>
      <c r="CY68" s="209" t="str">
        <f>IF($CW68&lt;&gt;"",'Group Stages'!$K74,"")</f>
        <v/>
      </c>
      <c r="CZ68" s="209" t="str">
        <f>IF($CW68&lt;&gt;"",'Group Stages'!$M74,"")</f>
        <v/>
      </c>
    </row>
    <row r="69" spans="63:104">
      <c r="BK69" s="209" t="str">
        <f>IF(AND(COUNTIF($AF$4:$AF$35,'Group Stages'!G75)&gt;0,COUNTIF($AF$4:$AF$35,'Group Stages'!M75)&gt;0,'Group Stages'!I75&lt;&gt;"",'Group Stages'!K75&lt;&gt;""),'Group Stages'!G75,"")</f>
        <v/>
      </c>
      <c r="BL69" s="209" t="str">
        <f>IF($BK69&lt;&gt;"",'Group Stages'!I75,"")</f>
        <v/>
      </c>
      <c r="BM69" s="209" t="str">
        <f>IF($BK69&lt;&gt;"",'Group Stages'!K75,"")</f>
        <v/>
      </c>
      <c r="BN69" s="209" t="str">
        <f>IF($BK69&lt;&gt;"",'Group Stages'!M75,"")</f>
        <v/>
      </c>
      <c r="CW69" s="209" t="str">
        <f>IF(AND(COUNTIF($BR$4:$BR$35,'Group Stages'!$G75)&gt;0,COUNTIF($BR$4:$BR$35,'Group Stages'!$M75)&gt;0),'Group Stages'!$G75,"")</f>
        <v/>
      </c>
      <c r="CX69" s="209" t="str">
        <f>IF($CW69&lt;&gt;"",'Group Stages'!$I75,"")</f>
        <v/>
      </c>
      <c r="CY69" s="209" t="str">
        <f>IF($CW69&lt;&gt;"",'Group Stages'!$K75,"")</f>
        <v/>
      </c>
      <c r="CZ69" s="209" t="str">
        <f>IF($CW69&lt;&gt;"",'Group Stages'!$M75,"")</f>
        <v/>
      </c>
    </row>
    <row r="70" spans="63:104">
      <c r="BK70" s="209" t="str">
        <f>IF(AND(COUNTIF($AF$4:$AF$35,'Group Stages'!G76)&gt;0,COUNTIF($AF$4:$AF$35,'Group Stages'!M76)&gt;0,'Group Stages'!I76&lt;&gt;"",'Group Stages'!K76&lt;&gt;""),'Group Stages'!G76,"")</f>
        <v/>
      </c>
      <c r="BL70" s="209" t="str">
        <f>IF($BK70&lt;&gt;"",'Group Stages'!I76,"")</f>
        <v/>
      </c>
      <c r="BM70" s="209" t="str">
        <f>IF($BK70&lt;&gt;"",'Group Stages'!K76,"")</f>
        <v/>
      </c>
      <c r="BN70" s="209" t="str">
        <f>IF($BK70&lt;&gt;"",'Group Stages'!M76,"")</f>
        <v/>
      </c>
      <c r="CW70" s="209" t="str">
        <f>IF(AND(COUNTIF($BR$4:$BR$35,'Group Stages'!$G76)&gt;0,COUNTIF($BR$4:$BR$35,'Group Stages'!$M76)&gt;0),'Group Stages'!$G76,"")</f>
        <v/>
      </c>
      <c r="CX70" s="209" t="str">
        <f>IF($CW70&lt;&gt;"",'Group Stages'!$I76,"")</f>
        <v/>
      </c>
      <c r="CY70" s="209" t="str">
        <f>IF($CW70&lt;&gt;"",'Group Stages'!$K76,"")</f>
        <v/>
      </c>
      <c r="CZ70" s="209" t="str">
        <f>IF($CW70&lt;&gt;"",'Group Stages'!$M76,"")</f>
        <v/>
      </c>
    </row>
    <row r="71" spans="63:104">
      <c r="BK71" s="209" t="str">
        <f>IF(AND(COUNTIF($AF$4:$AF$35,'Group Stages'!G77)&gt;0,COUNTIF($AF$4:$AF$35,'Group Stages'!M77)&gt;0,'Group Stages'!I77&lt;&gt;"",'Group Stages'!K77&lt;&gt;""),'Group Stages'!G77,"")</f>
        <v/>
      </c>
      <c r="BL71" s="209" t="str">
        <f>IF($BK71&lt;&gt;"",'Group Stages'!I77,"")</f>
        <v/>
      </c>
      <c r="BM71" s="209" t="str">
        <f>IF($BK71&lt;&gt;"",'Group Stages'!K77,"")</f>
        <v/>
      </c>
      <c r="BN71" s="209" t="str">
        <f>IF($BK71&lt;&gt;"",'Group Stages'!M77,"")</f>
        <v/>
      </c>
      <c r="CW71" s="209" t="str">
        <f>IF(AND(COUNTIF($BR$4:$BR$35,'Group Stages'!$G77)&gt;0,COUNTIF($BR$4:$BR$35,'Group Stages'!$M77)&gt;0),'Group Stages'!$G77,"")</f>
        <v/>
      </c>
      <c r="CX71" s="209" t="str">
        <f>IF($CW71&lt;&gt;"",'Group Stages'!$I77,"")</f>
        <v/>
      </c>
      <c r="CY71" s="209" t="str">
        <f>IF($CW71&lt;&gt;"",'Group Stages'!$K77,"")</f>
        <v/>
      </c>
      <c r="CZ71" s="209" t="str">
        <f>IF($CW71&lt;&gt;"",'Group Stages'!$M77,"")</f>
        <v/>
      </c>
    </row>
    <row r="72" spans="63:104">
      <c r="BK72" s="209" t="str">
        <f>IF(AND(COUNTIF($AF$4:$AF$35,'Group Stages'!G78)&gt;0,COUNTIF($AF$4:$AF$35,'Group Stages'!M78)&gt;0,'Group Stages'!I78&lt;&gt;"",'Group Stages'!K78&lt;&gt;""),'Group Stages'!G78,"")</f>
        <v/>
      </c>
      <c r="BL72" s="209" t="str">
        <f>IF($BK72&lt;&gt;"",'Group Stages'!I78,"")</f>
        <v/>
      </c>
      <c r="BM72" s="209" t="str">
        <f>IF($BK72&lt;&gt;"",'Group Stages'!K78,"")</f>
        <v/>
      </c>
      <c r="BN72" s="209" t="str">
        <f>IF($BK72&lt;&gt;"",'Group Stages'!M78,"")</f>
        <v/>
      </c>
      <c r="CW72" s="209" t="str">
        <f>IF(AND(COUNTIF($BR$4:$BR$35,'Group Stages'!$G78)&gt;0,COUNTIF($BR$4:$BR$35,'Group Stages'!$M78)&gt;0),'Group Stages'!$G78,"")</f>
        <v/>
      </c>
      <c r="CX72" s="209" t="str">
        <f>IF($CW72&lt;&gt;"",'Group Stages'!$I78,"")</f>
        <v/>
      </c>
      <c r="CY72" s="209" t="str">
        <f>IF($CW72&lt;&gt;"",'Group Stages'!$K78,"")</f>
        <v/>
      </c>
      <c r="CZ72" s="209" t="str">
        <f>IF($CW72&lt;&gt;"",'Group Stages'!$M78,"")</f>
        <v/>
      </c>
    </row>
    <row r="73" spans="63:104">
      <c r="BK73" s="209" t="str">
        <f>IF(AND(COUNTIF($AF$4:$AF$35,'Group Stages'!G79)&gt;0,COUNTIF($AF$4:$AF$35,'Group Stages'!M79)&gt;0,'Group Stages'!I79&lt;&gt;"",'Group Stages'!K79&lt;&gt;""),'Group Stages'!G79,"")</f>
        <v/>
      </c>
      <c r="BL73" s="209" t="str">
        <f>IF($BK73&lt;&gt;"",'Group Stages'!I79,"")</f>
        <v/>
      </c>
      <c r="BM73" s="209" t="str">
        <f>IF($BK73&lt;&gt;"",'Group Stages'!K79,"")</f>
        <v/>
      </c>
      <c r="BN73" s="209" t="str">
        <f>IF($BK73&lt;&gt;"",'Group Stages'!M79,"")</f>
        <v/>
      </c>
      <c r="CW73" s="209" t="str">
        <f>IF(AND(COUNTIF($BR$4:$BR$35,'Group Stages'!$G79)&gt;0,COUNTIF($BR$4:$BR$35,'Group Stages'!$M79)&gt;0),'Group Stages'!$G79,"")</f>
        <v/>
      </c>
      <c r="CX73" s="209" t="str">
        <f>IF($CW73&lt;&gt;"",'Group Stages'!$I79,"")</f>
        <v/>
      </c>
      <c r="CY73" s="209" t="str">
        <f>IF($CW73&lt;&gt;"",'Group Stages'!$K79,"")</f>
        <v/>
      </c>
      <c r="CZ73" s="209" t="str">
        <f>IF($CW73&lt;&gt;"",'Group Stages'!$M79,"")</f>
        <v/>
      </c>
    </row>
    <row r="74" spans="63:104">
      <c r="BK74" s="209" t="str">
        <f>IF(AND(COUNTIF($AF$4:$AF$35,'Group Stages'!G80)&gt;0,COUNTIF($AF$4:$AF$35,'Group Stages'!M80)&gt;0,'Group Stages'!I80&lt;&gt;"",'Group Stages'!K80&lt;&gt;""),'Group Stages'!G80,"")</f>
        <v/>
      </c>
      <c r="BL74" s="209" t="str">
        <f>IF($BK74&lt;&gt;"",'Group Stages'!I80,"")</f>
        <v/>
      </c>
      <c r="BM74" s="209" t="str">
        <f>IF($BK74&lt;&gt;"",'Group Stages'!K80,"")</f>
        <v/>
      </c>
      <c r="BN74" s="209" t="str">
        <f>IF($BK74&lt;&gt;"",'Group Stages'!M80,"")</f>
        <v/>
      </c>
      <c r="CW74" s="209" t="str">
        <f>IF(AND(COUNTIF($BR$4:$BR$35,'Group Stages'!$G80)&gt;0,COUNTIF($BR$4:$BR$35,'Group Stages'!$M80)&gt;0),'Group Stages'!$G80,"")</f>
        <v/>
      </c>
      <c r="CX74" s="209" t="str">
        <f>IF($CW74&lt;&gt;"",'Group Stages'!$I80,"")</f>
        <v/>
      </c>
      <c r="CY74" s="209" t="str">
        <f>IF($CW74&lt;&gt;"",'Group Stages'!$K80,"")</f>
        <v/>
      </c>
      <c r="CZ74" s="209" t="str">
        <f>IF($CW74&lt;&gt;"",'Group Stages'!$M80,"")</f>
        <v/>
      </c>
    </row>
    <row r="75" spans="63:104">
      <c r="BK75" s="209" t="str">
        <f>IF(AND(COUNTIF($AF$4:$AF$35,'Group Stages'!G81)&gt;0,COUNTIF($AF$4:$AF$35,'Group Stages'!M81)&gt;0,'Group Stages'!I81&lt;&gt;"",'Group Stages'!K81&lt;&gt;""),'Group Stages'!G81,"")</f>
        <v/>
      </c>
      <c r="BL75" s="209" t="str">
        <f>IF($BK75&lt;&gt;"",'Group Stages'!I81,"")</f>
        <v/>
      </c>
      <c r="BM75" s="209" t="str">
        <f>IF($BK75&lt;&gt;"",'Group Stages'!K81,"")</f>
        <v/>
      </c>
      <c r="BN75" s="209" t="str">
        <f>IF($BK75&lt;&gt;"",'Group Stages'!M81,"")</f>
        <v/>
      </c>
      <c r="CW75" s="209" t="str">
        <f>IF(AND(COUNTIF($BR$4:$BR$35,'Group Stages'!$G81)&gt;0,COUNTIF($BR$4:$BR$35,'Group Stages'!$M81)&gt;0),'Group Stages'!$G81,"")</f>
        <v/>
      </c>
      <c r="CX75" s="209" t="str">
        <f>IF($CW75&lt;&gt;"",'Group Stages'!$I81,"")</f>
        <v/>
      </c>
      <c r="CY75" s="209" t="str">
        <f>IF($CW75&lt;&gt;"",'Group Stages'!$K81,"")</f>
        <v/>
      </c>
      <c r="CZ75" s="209" t="str">
        <f>IF($CW75&lt;&gt;"",'Group Stages'!$M81,"")</f>
        <v/>
      </c>
    </row>
    <row r="76" spans="63:104">
      <c r="BK76" s="209" t="str">
        <f>IF(AND(COUNTIF($AF$4:$AF$35,'Group Stages'!G82)&gt;0,COUNTIF($AF$4:$AF$35,'Group Stages'!M82)&gt;0,'Group Stages'!I82&lt;&gt;"",'Group Stages'!K82&lt;&gt;""),'Group Stages'!G82,"")</f>
        <v/>
      </c>
      <c r="BL76" s="209" t="str">
        <f>IF($BK76&lt;&gt;"",'Group Stages'!I82,"")</f>
        <v/>
      </c>
      <c r="BM76" s="209" t="str">
        <f>IF($BK76&lt;&gt;"",'Group Stages'!K82,"")</f>
        <v/>
      </c>
      <c r="BN76" s="209" t="str">
        <f>IF($BK76&lt;&gt;"",'Group Stages'!M82,"")</f>
        <v/>
      </c>
      <c r="CW76" s="209" t="str">
        <f>IF(AND(COUNTIF($BR$4:$BR$35,'Group Stages'!$G82)&gt;0,COUNTIF($BR$4:$BR$35,'Group Stages'!$M82)&gt;0),'Group Stages'!$G82,"")</f>
        <v/>
      </c>
      <c r="CX76" s="209" t="str">
        <f>IF($CW76&lt;&gt;"",'Group Stages'!$I82,"")</f>
        <v/>
      </c>
      <c r="CY76" s="209" t="str">
        <f>IF($CW76&lt;&gt;"",'Group Stages'!$K82,"")</f>
        <v/>
      </c>
      <c r="CZ76" s="209" t="str">
        <f>IF($CW76&lt;&gt;"",'Group Stages'!$M82,"")</f>
        <v/>
      </c>
    </row>
    <row r="77" spans="63:104">
      <c r="BK77" s="209" t="str">
        <f>IF(AND(COUNTIF($AF$4:$AF$35,'Group Stages'!G83)&gt;0,COUNTIF($AF$4:$AF$35,'Group Stages'!M83)&gt;0,'Group Stages'!I83&lt;&gt;"",'Group Stages'!K83&lt;&gt;""),'Group Stages'!G83,"")</f>
        <v>Standard Liège</v>
      </c>
      <c r="BL77" s="209" t="str">
        <f>IF($BK77&lt;&gt;"",'Group Stages'!I83,"")</f>
        <v>2</v>
      </c>
      <c r="BM77" s="209" t="str">
        <f>IF($BK77&lt;&gt;"",'Group Stages'!K83,"")</f>
        <v>1</v>
      </c>
      <c r="BN77" s="209" t="str">
        <f>IF($BK77&lt;&gt;"",'Group Stages'!M83,"")</f>
        <v>Eintracht Frankfurt</v>
      </c>
      <c r="CW77" s="209" t="str">
        <f>IF(AND(COUNTIF($BR$4:$BR$35,'Group Stages'!$G83)&gt;0,COUNTIF($BR$4:$BR$35,'Group Stages'!$M83)&gt;0),'Group Stages'!$G83,"")</f>
        <v/>
      </c>
      <c r="CX77" s="209" t="str">
        <f>IF($CW77&lt;&gt;"",'Group Stages'!$I83,"")</f>
        <v/>
      </c>
      <c r="CY77" s="209" t="str">
        <f>IF($CW77&lt;&gt;"",'Group Stages'!$K83,"")</f>
        <v/>
      </c>
      <c r="CZ77" s="209" t="str">
        <f>IF($CW77&lt;&gt;"",'Group Stages'!$M83,"")</f>
        <v/>
      </c>
    </row>
    <row r="78" spans="63:104">
      <c r="BK78" s="209" t="str">
        <f>IF(AND(COUNTIF($AF$4:$AF$35,'Group Stages'!G84)&gt;0,COUNTIF($AF$4:$AF$35,'Group Stages'!M84)&gt;0,'Group Stages'!I84&lt;&gt;"",'Group Stages'!K84&lt;&gt;""),'Group Stages'!G84,"")</f>
        <v>APOEL Nikosia</v>
      </c>
      <c r="BL78" s="209" t="str">
        <f>IF($BK78&lt;&gt;"",'Group Stages'!I84,"")</f>
        <v>2</v>
      </c>
      <c r="BM78" s="209" t="str">
        <f>IF($BK78&lt;&gt;"",'Group Stages'!K84,"")</f>
        <v>1</v>
      </c>
      <c r="BN78" s="209" t="str">
        <f>IF($BK78&lt;&gt;"",'Group Stages'!M84,"")</f>
        <v>Qarabağ FK</v>
      </c>
      <c r="CW78" s="209" t="str">
        <f>IF(AND(COUNTIF($BR$4:$BR$35,'Group Stages'!$G84)&gt;0,COUNTIF($BR$4:$BR$35,'Group Stages'!$M84)&gt;0),'Group Stages'!$G84,"")</f>
        <v/>
      </c>
      <c r="CX78" s="209" t="str">
        <f>IF($CW78&lt;&gt;"",'Group Stages'!$I84,"")</f>
        <v/>
      </c>
      <c r="CY78" s="209" t="str">
        <f>IF($CW78&lt;&gt;"",'Group Stages'!$K84,"")</f>
        <v/>
      </c>
      <c r="CZ78" s="209" t="str">
        <f>IF($CW78&lt;&gt;"",'Group Stages'!$M84,"")</f>
        <v/>
      </c>
    </row>
    <row r="79" spans="63:104">
      <c r="BK79" s="209" t="str">
        <f>IF(AND(COUNTIF($AF$4:$AF$35,'Group Stages'!G85)&gt;0,COUNTIF($AF$4:$AF$35,'Group Stages'!M85)&gt;0,'Group Stages'!I85&lt;&gt;"",'Group Stages'!K85&lt;&gt;""),'Group Stages'!G85,"")</f>
        <v/>
      </c>
      <c r="BL79" s="209" t="str">
        <f>IF($BK79&lt;&gt;"",'Group Stages'!I85,"")</f>
        <v/>
      </c>
      <c r="BM79" s="209" t="str">
        <f>IF($BK79&lt;&gt;"",'Group Stages'!K85,"")</f>
        <v/>
      </c>
      <c r="BN79" s="209" t="str">
        <f>IF($BK79&lt;&gt;"",'Group Stages'!M85,"")</f>
        <v/>
      </c>
      <c r="CW79" s="209" t="str">
        <f>IF(AND(COUNTIF($BR$4:$BR$35,'Group Stages'!$G85)&gt;0,COUNTIF($BR$4:$BR$35,'Group Stages'!$M85)&gt;0),'Group Stages'!$G85,"")</f>
        <v/>
      </c>
      <c r="CX79" s="209" t="str">
        <f>IF($CW79&lt;&gt;"",'Group Stages'!$I85,"")</f>
        <v/>
      </c>
      <c r="CY79" s="209" t="str">
        <f>IF($CW79&lt;&gt;"",'Group Stages'!$K85,"")</f>
        <v/>
      </c>
      <c r="CZ79" s="209" t="str">
        <f>IF($CW79&lt;&gt;"",'Group Stages'!$M85,"")</f>
        <v/>
      </c>
    </row>
    <row r="80" spans="63:104">
      <c r="BK80" s="209" t="str">
        <f>IF(AND(COUNTIF($AF$4:$AF$35,'Group Stages'!G86)&gt;0,COUNTIF($AF$4:$AF$35,'Group Stages'!M86)&gt;0,'Group Stages'!I86&lt;&gt;"",'Group Stages'!K86&lt;&gt;""),'Group Stages'!G86,"")</f>
        <v>FC København</v>
      </c>
      <c r="BL80" s="209" t="str">
        <f>IF($BK80&lt;&gt;"",'Group Stages'!I86,"")</f>
        <v>1</v>
      </c>
      <c r="BM80" s="209" t="str">
        <f>IF($BK80&lt;&gt;"",'Group Stages'!K86,"")</f>
        <v>1</v>
      </c>
      <c r="BN80" s="209" t="str">
        <f>IF($BK80&lt;&gt;"",'Group Stages'!M86,"")</f>
        <v>Dinamo Kiev</v>
      </c>
      <c r="CW80" s="209" t="str">
        <f>IF(AND(COUNTIF($BR$4:$BR$35,'Group Stages'!$G86)&gt;0,COUNTIF($BR$4:$BR$35,'Group Stages'!$M86)&gt;0),'Group Stages'!$G86,"")</f>
        <v/>
      </c>
      <c r="CX80" s="209" t="str">
        <f>IF($CW80&lt;&gt;"",'Group Stages'!$I86,"")</f>
        <v/>
      </c>
      <c r="CY80" s="209" t="str">
        <f>IF($CW80&lt;&gt;"",'Group Stages'!$K86,"")</f>
        <v/>
      </c>
      <c r="CZ80" s="209" t="str">
        <f>IF($CW80&lt;&gt;"",'Group Stages'!$M86,"")</f>
        <v/>
      </c>
    </row>
    <row r="81" spans="63:104">
      <c r="BK81" s="209" t="str">
        <f>IF(AND(COUNTIF($AF$4:$AF$35,'Group Stages'!G87)&gt;0,COUNTIF($AF$4:$AF$35,'Group Stages'!M87)&gt;0,'Group Stages'!I87&lt;&gt;"",'Group Stages'!K87&lt;&gt;""),'Group Stages'!G87,"")</f>
        <v/>
      </c>
      <c r="BL81" s="209" t="str">
        <f>IF($BK81&lt;&gt;"",'Group Stages'!I87,"")</f>
        <v/>
      </c>
      <c r="BM81" s="209" t="str">
        <f>IF($BK81&lt;&gt;"",'Group Stages'!K87,"")</f>
        <v/>
      </c>
      <c r="BN81" s="209" t="str">
        <f>IF($BK81&lt;&gt;"",'Group Stages'!M87,"")</f>
        <v/>
      </c>
      <c r="CW81" s="209" t="str">
        <f>IF(AND(COUNTIF($BR$4:$BR$35,'Group Stages'!$G87)&gt;0,COUNTIF($BR$4:$BR$35,'Group Stages'!$M87)&gt;0),'Group Stages'!$G87,"")</f>
        <v/>
      </c>
      <c r="CX81" s="209" t="str">
        <f>IF($CW81&lt;&gt;"",'Group Stages'!$I87,"")</f>
        <v/>
      </c>
      <c r="CY81" s="209" t="str">
        <f>IF($CW81&lt;&gt;"",'Group Stages'!$K87,"")</f>
        <v/>
      </c>
      <c r="CZ81" s="209" t="str">
        <f>IF($CW81&lt;&gt;"",'Group Stages'!$M87,"")</f>
        <v/>
      </c>
    </row>
    <row r="82" spans="63:104">
      <c r="BK82" s="209" t="str">
        <f>IF(AND(COUNTIF($AF$4:$AF$35,'Group Stages'!G88)&gt;0,COUNTIF($AF$4:$AF$35,'Group Stages'!M88)&gt;0,'Group Stages'!I88&lt;&gt;"",'Group Stages'!K88&lt;&gt;""),'Group Stages'!G88,"")</f>
        <v/>
      </c>
      <c r="BL82" s="209" t="str">
        <f>IF($BK82&lt;&gt;"",'Group Stages'!I88,"")</f>
        <v/>
      </c>
      <c r="BM82" s="209" t="str">
        <f>IF($BK82&lt;&gt;"",'Group Stages'!K88,"")</f>
        <v/>
      </c>
      <c r="BN82" s="209" t="str">
        <f>IF($BK82&lt;&gt;"",'Group Stages'!M88,"")</f>
        <v/>
      </c>
      <c r="CW82" s="209" t="str">
        <f>IF(AND(COUNTIF($BR$4:$BR$35,'Group Stages'!$G88)&gt;0,COUNTIF($BR$4:$BR$35,'Group Stages'!$M88)&gt;0),'Group Stages'!$G88,"")</f>
        <v/>
      </c>
      <c r="CX82" s="209" t="str">
        <f>IF($CW82&lt;&gt;"",'Group Stages'!$I88,"")</f>
        <v/>
      </c>
      <c r="CY82" s="209" t="str">
        <f>IF($CW82&lt;&gt;"",'Group Stages'!$K88,"")</f>
        <v/>
      </c>
      <c r="CZ82" s="209" t="str">
        <f>IF($CW82&lt;&gt;"",'Group Stages'!$M88,"")</f>
        <v/>
      </c>
    </row>
    <row r="83" spans="63:104">
      <c r="BK83" s="209" t="str">
        <f>IF(AND(COUNTIF($AF$4:$AF$35,'Group Stages'!G89)&gt;0,COUNTIF($AF$4:$AF$35,'Group Stages'!M89)&gt;0,'Group Stages'!I89&lt;&gt;"",'Group Stages'!K89&lt;&gt;""),'Group Stages'!G89,"")</f>
        <v/>
      </c>
      <c r="BL83" s="209" t="str">
        <f>IF($BK83&lt;&gt;"",'Group Stages'!I89,"")</f>
        <v/>
      </c>
      <c r="BM83" s="209" t="str">
        <f>IF($BK83&lt;&gt;"",'Group Stages'!K89,"")</f>
        <v/>
      </c>
      <c r="BN83" s="209" t="str">
        <f>IF($BK83&lt;&gt;"",'Group Stages'!M89,"")</f>
        <v/>
      </c>
      <c r="CW83" s="209" t="str">
        <f>IF(AND(COUNTIF($BR$4:$BR$35,'Group Stages'!$G89)&gt;0,COUNTIF($BR$4:$BR$35,'Group Stages'!$M89)&gt;0),'Group Stages'!$G89,"")</f>
        <v/>
      </c>
      <c r="CX83" s="209" t="str">
        <f>IF($CW83&lt;&gt;"",'Group Stages'!$I89,"")</f>
        <v/>
      </c>
      <c r="CY83" s="209" t="str">
        <f>IF($CW83&lt;&gt;"",'Group Stages'!$K89,"")</f>
        <v/>
      </c>
      <c r="CZ83" s="209" t="str">
        <f>IF($CW83&lt;&gt;"",'Group Stages'!$M89,"")</f>
        <v/>
      </c>
    </row>
    <row r="84" spans="63:104">
      <c r="BK84" s="209" t="str">
        <f>IF(AND(COUNTIF($AF$4:$AF$35,'Group Stages'!G90)&gt;0,COUNTIF($AF$4:$AF$35,'Group Stages'!M90)&gt;0,'Group Stages'!I90&lt;&gt;"",'Group Stages'!K90&lt;&gt;""),'Group Stages'!G90,"")</f>
        <v>LASK</v>
      </c>
      <c r="BL84" s="209" t="str">
        <f>IF($BK84&lt;&gt;"",'Group Stages'!I90,"")</f>
        <v>4</v>
      </c>
      <c r="BM84" s="209" t="str">
        <f>IF($BK84&lt;&gt;"",'Group Stages'!K90,"")</f>
        <v>1</v>
      </c>
      <c r="BN84" s="209" t="str">
        <f>IF($BK84&lt;&gt;"",'Group Stages'!M90,"")</f>
        <v>PSV Eindhoven</v>
      </c>
      <c r="CW84" s="209" t="str">
        <f>IF(AND(COUNTIF($BR$4:$BR$35,'Group Stages'!$G90)&gt;0,COUNTIF($BR$4:$BR$35,'Group Stages'!$M90)&gt;0),'Group Stages'!$G90,"")</f>
        <v/>
      </c>
      <c r="CX84" s="209" t="str">
        <f>IF($CW84&lt;&gt;"",'Group Stages'!$I90,"")</f>
        <v/>
      </c>
      <c r="CY84" s="209" t="str">
        <f>IF($CW84&lt;&gt;"",'Group Stages'!$K90,"")</f>
        <v/>
      </c>
      <c r="CZ84" s="209" t="str">
        <f>IF($CW84&lt;&gt;"",'Group Stages'!$M90,"")</f>
        <v/>
      </c>
    </row>
    <row r="85" spans="63:104">
      <c r="BK85" s="209" t="str">
        <f>IF(AND(COUNTIF($AF$4:$AF$35,'Group Stages'!G91)&gt;0,COUNTIF($AF$4:$AF$35,'Group Stages'!M91)&gt;0,'Group Stages'!I91&lt;&gt;"",'Group Stages'!K91&lt;&gt;""),'Group Stages'!G91,"")</f>
        <v/>
      </c>
      <c r="BL85" s="209" t="str">
        <f>IF($BK85&lt;&gt;"",'Group Stages'!I91,"")</f>
        <v/>
      </c>
      <c r="BM85" s="209" t="str">
        <f>IF($BK85&lt;&gt;"",'Group Stages'!K91,"")</f>
        <v/>
      </c>
      <c r="BN85" s="209" t="str">
        <f>IF($BK85&lt;&gt;"",'Group Stages'!M91,"")</f>
        <v/>
      </c>
      <c r="CW85" s="209" t="str">
        <f>IF(AND(COUNTIF($BR$4:$BR$35,'Group Stages'!$G91)&gt;0,COUNTIF($BR$4:$BR$35,'Group Stages'!$M91)&gt;0),'Group Stages'!$G91,"")</f>
        <v/>
      </c>
      <c r="CX85" s="209" t="str">
        <f>IF($CW85&lt;&gt;"",'Group Stages'!$I91,"")</f>
        <v/>
      </c>
      <c r="CY85" s="209" t="str">
        <f>IF($CW85&lt;&gt;"",'Group Stages'!$K91,"")</f>
        <v/>
      </c>
      <c r="CZ85" s="209" t="str">
        <f>IF($CW85&lt;&gt;"",'Group Stages'!$M91,"")</f>
        <v/>
      </c>
    </row>
    <row r="86" spans="63:104">
      <c r="BK86" s="209" t="str">
        <f>IF(AND(COUNTIF($AF$4:$AF$35,'Group Stages'!G92)&gt;0,COUNTIF($AF$4:$AF$35,'Group Stages'!M92)&gt;0,'Group Stages'!I92&lt;&gt;"",'Group Stages'!K92&lt;&gt;""),'Group Stages'!G92,"")</f>
        <v/>
      </c>
      <c r="BL86" s="209" t="str">
        <f>IF($BK86&lt;&gt;"",'Group Stages'!I92,"")</f>
        <v/>
      </c>
      <c r="BM86" s="209" t="str">
        <f>IF($BK86&lt;&gt;"",'Group Stages'!K92,"")</f>
        <v/>
      </c>
      <c r="BN86" s="209" t="str">
        <f>IF($BK86&lt;&gt;"",'Group Stages'!M92,"")</f>
        <v/>
      </c>
      <c r="CW86" s="209" t="str">
        <f>IF(AND(COUNTIF($BR$4:$BR$35,'Group Stages'!$G92)&gt;0,COUNTIF($BR$4:$BR$35,'Group Stages'!$M92)&gt;0),'Group Stages'!$G92,"")</f>
        <v/>
      </c>
      <c r="CX86" s="209" t="str">
        <f>IF($CW86&lt;&gt;"",'Group Stages'!$I92,"")</f>
        <v/>
      </c>
      <c r="CY86" s="209" t="str">
        <f>IF($CW86&lt;&gt;"",'Group Stages'!$K92,"")</f>
        <v/>
      </c>
      <c r="CZ86" s="209" t="str">
        <f>IF($CW86&lt;&gt;"",'Group Stages'!$M92,"")</f>
        <v/>
      </c>
    </row>
    <row r="87" spans="63:104">
      <c r="BK87" s="209" t="str">
        <f>IF(AND(COUNTIF($AF$4:$AF$35,'Group Stages'!G93)&gt;0,COUNTIF($AF$4:$AF$35,'Group Stages'!M93)&gt;0,'Group Stages'!I93&lt;&gt;"",'Group Stages'!K93&lt;&gt;""),'Group Stages'!G93,"")</f>
        <v/>
      </c>
      <c r="BL87" s="209" t="str">
        <f>IF($BK87&lt;&gt;"",'Group Stages'!I93,"")</f>
        <v/>
      </c>
      <c r="BM87" s="209" t="str">
        <f>IF($BK87&lt;&gt;"",'Group Stages'!K93,"")</f>
        <v/>
      </c>
      <c r="BN87" s="209" t="str">
        <f>IF($BK87&lt;&gt;"",'Group Stages'!M93,"")</f>
        <v/>
      </c>
      <c r="CW87" s="209" t="str">
        <f>IF(AND(COUNTIF($BR$4:$BR$35,'Group Stages'!$G93)&gt;0,COUNTIF($BR$4:$BR$35,'Group Stages'!$M93)&gt;0),'Group Stages'!$G93,"")</f>
        <v/>
      </c>
      <c r="CX87" s="209" t="str">
        <f>IF($CW87&lt;&gt;"",'Group Stages'!$I93,"")</f>
        <v/>
      </c>
      <c r="CY87" s="209" t="str">
        <f>IF($CW87&lt;&gt;"",'Group Stages'!$K93,"")</f>
        <v/>
      </c>
      <c r="CZ87" s="209" t="str">
        <f>IF($CW87&lt;&gt;"",'Group Stages'!$M93,"")</f>
        <v/>
      </c>
    </row>
    <row r="88" spans="63:104">
      <c r="BK88" s="209" t="str">
        <f>IF(AND(COUNTIF($AF$4:$AF$35,'Group Stages'!G94)&gt;0,COUNTIF($AF$4:$AF$35,'Group Stages'!M94)&gt;0,'Group Stages'!I94&lt;&gt;"",'Group Stages'!K94&lt;&gt;""),'Group Stages'!G94,"")</f>
        <v/>
      </c>
      <c r="BL88" s="209" t="str">
        <f>IF($BK88&lt;&gt;"",'Group Stages'!I94,"")</f>
        <v/>
      </c>
      <c r="BM88" s="209" t="str">
        <f>IF($BK88&lt;&gt;"",'Group Stages'!K94,"")</f>
        <v/>
      </c>
      <c r="BN88" s="209" t="str">
        <f>IF($BK88&lt;&gt;"",'Group Stages'!M94,"")</f>
        <v/>
      </c>
      <c r="CW88" s="209" t="str">
        <f>IF(AND(COUNTIF($BR$4:$BR$35,'Group Stages'!$G94)&gt;0,COUNTIF($BR$4:$BR$35,'Group Stages'!$M94)&gt;0),'Group Stages'!$G94,"")</f>
        <v/>
      </c>
      <c r="CX88" s="209" t="str">
        <f>IF($CW88&lt;&gt;"",'Group Stages'!$I94,"")</f>
        <v/>
      </c>
      <c r="CY88" s="209" t="str">
        <f>IF($CW88&lt;&gt;"",'Group Stages'!$K94,"")</f>
        <v/>
      </c>
      <c r="CZ88" s="209" t="str">
        <f>IF($CW88&lt;&gt;"",'Group Stages'!$M94,"")</f>
        <v/>
      </c>
    </row>
    <row r="89" spans="63:104">
      <c r="BK89" s="209" t="str">
        <f>IF(AND(COUNTIF($AF$4:$AF$35,'Group Stages'!G95)&gt;0,COUNTIF($AF$4:$AF$35,'Group Stages'!M95)&gt;0,'Group Stages'!I95&lt;&gt;"",'Group Stages'!K95&lt;&gt;""),'Group Stages'!G95,"")</f>
        <v/>
      </c>
      <c r="BL89" s="209" t="str">
        <f>IF($BK89&lt;&gt;"",'Group Stages'!I95,"")</f>
        <v/>
      </c>
      <c r="BM89" s="209" t="str">
        <f>IF($BK89&lt;&gt;"",'Group Stages'!K95,"")</f>
        <v/>
      </c>
      <c r="BN89" s="209" t="str">
        <f>IF($BK89&lt;&gt;"",'Group Stages'!M95,"")</f>
        <v/>
      </c>
      <c r="CW89" s="209" t="str">
        <f>IF(AND(COUNTIF($BR$4:$BR$35,'Group Stages'!$G95)&gt;0,COUNTIF($BR$4:$BR$35,'Group Stages'!$M95)&gt;0),'Group Stages'!$G95,"")</f>
        <v/>
      </c>
      <c r="CX89" s="209" t="str">
        <f>IF($CW89&lt;&gt;"",'Group Stages'!$I95,"")</f>
        <v/>
      </c>
      <c r="CY89" s="209" t="str">
        <f>IF($CW89&lt;&gt;"",'Group Stages'!$K95,"")</f>
        <v/>
      </c>
      <c r="CZ89" s="209" t="str">
        <f>IF($CW89&lt;&gt;"",'Group Stages'!$M95,"")</f>
        <v/>
      </c>
    </row>
    <row r="90" spans="63:104">
      <c r="BK90" s="209" t="str">
        <f>IF(AND(COUNTIF($AF$4:$AF$35,'Group Stages'!G96)&gt;0,COUNTIF($AF$4:$AF$35,'Group Stages'!M96)&gt;0,'Group Stages'!I96&lt;&gt;"",'Group Stages'!K96&lt;&gt;""),'Group Stages'!G96,"")</f>
        <v/>
      </c>
      <c r="BL90" s="209" t="str">
        <f>IF($BK90&lt;&gt;"",'Group Stages'!I96,"")</f>
        <v/>
      </c>
      <c r="BM90" s="209" t="str">
        <f>IF($BK90&lt;&gt;"",'Group Stages'!K96,"")</f>
        <v/>
      </c>
      <c r="BN90" s="209" t="str">
        <f>IF($BK90&lt;&gt;"",'Group Stages'!M96,"")</f>
        <v/>
      </c>
      <c r="CW90" s="209" t="str">
        <f>IF(AND(COUNTIF($BR$4:$BR$35,'Group Stages'!$G96)&gt;0,COUNTIF($BR$4:$BR$35,'Group Stages'!$M96)&gt;0),'Group Stages'!$G96,"")</f>
        <v/>
      </c>
      <c r="CX90" s="209" t="str">
        <f>IF($CW90&lt;&gt;"",'Group Stages'!$I96,"")</f>
        <v/>
      </c>
      <c r="CY90" s="209" t="str">
        <f>IF($CW90&lt;&gt;"",'Group Stages'!$K96,"")</f>
        <v/>
      </c>
      <c r="CZ90" s="209" t="str">
        <f>IF($CW90&lt;&gt;"",'Group Stages'!$M96,"")</f>
        <v/>
      </c>
    </row>
    <row r="91" spans="63:104">
      <c r="BK91" s="209" t="str">
        <f>IF(AND(COUNTIF($AF$4:$AF$35,'Group Stages'!G97)&gt;0,COUNTIF($AF$4:$AF$35,'Group Stages'!M97)&gt;0,'Group Stages'!I97&lt;&gt;"",'Group Stages'!K97&lt;&gt;""),'Group Stages'!G97,"")</f>
        <v/>
      </c>
      <c r="BL91" s="209" t="str">
        <f>IF($BK91&lt;&gt;"",'Group Stages'!I97,"")</f>
        <v/>
      </c>
      <c r="BM91" s="209" t="str">
        <f>IF($BK91&lt;&gt;"",'Group Stages'!K97,"")</f>
        <v/>
      </c>
      <c r="BN91" s="209" t="str">
        <f>IF($BK91&lt;&gt;"",'Group Stages'!M97,"")</f>
        <v/>
      </c>
      <c r="CW91" s="209" t="str">
        <f>IF(AND(COUNTIF($BR$4:$BR$35,'Group Stages'!$G97)&gt;0,COUNTIF($BR$4:$BR$35,'Group Stages'!$M97)&gt;0),'Group Stages'!$G97,"")</f>
        <v/>
      </c>
      <c r="CX91" s="209" t="str">
        <f>IF($CW91&lt;&gt;"",'Group Stages'!$I97,"")</f>
        <v/>
      </c>
      <c r="CY91" s="209" t="str">
        <f>IF($CW91&lt;&gt;"",'Group Stages'!$K97,"")</f>
        <v/>
      </c>
      <c r="CZ91" s="209" t="str">
        <f>IF($CW91&lt;&gt;"",'Group Stages'!$M97,"")</f>
        <v/>
      </c>
    </row>
    <row r="92" spans="63:104">
      <c r="BK92" s="209" t="str">
        <f>IF(AND(COUNTIF($AF$4:$AF$35,'Group Stages'!G98)&gt;0,COUNTIF($AF$4:$AF$35,'Group Stages'!M98)&gt;0,'Group Stages'!I98&lt;&gt;"",'Group Stages'!K98&lt;&gt;""),'Group Stages'!G98,"")</f>
        <v/>
      </c>
      <c r="BL92" s="209" t="str">
        <f>IF($BK92&lt;&gt;"",'Group Stages'!I98,"")</f>
        <v/>
      </c>
      <c r="BM92" s="209" t="str">
        <f>IF($BK92&lt;&gt;"",'Group Stages'!K98,"")</f>
        <v/>
      </c>
      <c r="BN92" s="209" t="str">
        <f>IF($BK92&lt;&gt;"",'Group Stages'!M98,"")</f>
        <v/>
      </c>
      <c r="CW92" s="209" t="str">
        <f>IF(AND(COUNTIF($BR$4:$BR$35,'Group Stages'!$G98)&gt;0,COUNTIF($BR$4:$BR$35,'Group Stages'!$M98)&gt;0),'Group Stages'!$G98,"")</f>
        <v/>
      </c>
      <c r="CX92" s="209" t="str">
        <f>IF($CW92&lt;&gt;"",'Group Stages'!$I98,"")</f>
        <v/>
      </c>
      <c r="CY92" s="209" t="str">
        <f>IF($CW92&lt;&gt;"",'Group Stages'!$K98,"")</f>
        <v/>
      </c>
      <c r="CZ92" s="209" t="str">
        <f>IF($CW92&lt;&gt;"",'Group Stages'!$M98,"")</f>
        <v/>
      </c>
    </row>
    <row r="93" spans="63:104">
      <c r="BK93" s="209" t="str">
        <f>IF(AND(COUNTIF($AF$4:$AF$35,'Group Stages'!G99)&gt;0,COUNTIF($AF$4:$AF$35,'Group Stages'!M99)&gt;0,'Group Stages'!I99&lt;&gt;"",'Group Stages'!K99&lt;&gt;""),'Group Stages'!G99,"")</f>
        <v/>
      </c>
      <c r="BL93" s="209" t="str">
        <f>IF($BK93&lt;&gt;"",'Group Stages'!I99,"")</f>
        <v/>
      </c>
      <c r="BM93" s="209" t="str">
        <f>IF($BK93&lt;&gt;"",'Group Stages'!K99,"")</f>
        <v/>
      </c>
      <c r="BN93" s="209" t="str">
        <f>IF($BK93&lt;&gt;"",'Group Stages'!M99,"")</f>
        <v/>
      </c>
      <c r="CW93" s="209" t="str">
        <f>IF(AND(COUNTIF($BR$4:$BR$35,'Group Stages'!$G99)&gt;0,COUNTIF($BR$4:$BR$35,'Group Stages'!$M99)&gt;0),'Group Stages'!$G99,"")</f>
        <v/>
      </c>
      <c r="CX93" s="209" t="str">
        <f>IF($CW93&lt;&gt;"",'Group Stages'!$I99,"")</f>
        <v/>
      </c>
      <c r="CY93" s="209" t="str">
        <f>IF($CW93&lt;&gt;"",'Group Stages'!$K99,"")</f>
        <v/>
      </c>
      <c r="CZ93" s="209" t="str">
        <f>IF($CW93&lt;&gt;"",'Group Stages'!$M99,"")</f>
        <v/>
      </c>
    </row>
    <row r="94" spans="63:104">
      <c r="BK94" s="209" t="str">
        <f>IF(AND(COUNTIF($AF$4:$AF$35,'Group Stages'!G100)&gt;0,COUNTIF($AF$4:$AF$35,'Group Stages'!M100)&gt;0,'Group Stages'!I100&lt;&gt;"",'Group Stages'!K100&lt;&gt;""),'Group Stages'!G100,"")</f>
        <v/>
      </c>
      <c r="BL94" s="209" t="str">
        <f>IF($BK94&lt;&gt;"",'Group Stages'!I100,"")</f>
        <v/>
      </c>
      <c r="BM94" s="209" t="str">
        <f>IF($BK94&lt;&gt;"",'Group Stages'!K100,"")</f>
        <v/>
      </c>
      <c r="BN94" s="209" t="str">
        <f>IF($BK94&lt;&gt;"",'Group Stages'!M100,"")</f>
        <v/>
      </c>
      <c r="CW94" s="209" t="str">
        <f>IF(AND(COUNTIF($BR$4:$BR$35,'Group Stages'!$G100)&gt;0,COUNTIF($BR$4:$BR$35,'Group Stages'!$M100)&gt;0),'Group Stages'!$G100,"")</f>
        <v/>
      </c>
      <c r="CX94" s="209" t="str">
        <f>IF($CW94&lt;&gt;"",'Group Stages'!$I100,"")</f>
        <v/>
      </c>
      <c r="CY94" s="209" t="str">
        <f>IF($CW94&lt;&gt;"",'Group Stages'!$K100,"")</f>
        <v/>
      </c>
      <c r="CZ94" s="209" t="str">
        <f>IF($CW94&lt;&gt;"",'Group Stages'!$M100,"")</f>
        <v/>
      </c>
    </row>
    <row r="95" spans="63:104">
      <c r="BK95" s="209" t="str">
        <f>IF(AND(COUNTIF($AF$4:$AF$35,'Group Stages'!G101)&gt;0,COUNTIF($AF$4:$AF$35,'Group Stages'!M101)&gt;0,'Group Stages'!I101&lt;&gt;"",'Group Stages'!K101&lt;&gt;""),'Group Stages'!G101,"")</f>
        <v/>
      </c>
      <c r="BL95" s="209" t="str">
        <f>IF($BK95&lt;&gt;"",'Group Stages'!I101,"")</f>
        <v/>
      </c>
      <c r="BM95" s="209" t="str">
        <f>IF($BK95&lt;&gt;"",'Group Stages'!K101,"")</f>
        <v/>
      </c>
      <c r="BN95" s="209" t="str">
        <f>IF($BK95&lt;&gt;"",'Group Stages'!M101,"")</f>
        <v/>
      </c>
      <c r="CW95" s="209" t="str">
        <f>IF(AND(COUNTIF($BR$4:$BR$35,'Group Stages'!$G101)&gt;0,COUNTIF($BR$4:$BR$35,'Group Stages'!$M101)&gt;0),'Group Stages'!$G101,"")</f>
        <v/>
      </c>
      <c r="CX95" s="209" t="str">
        <f>IF($CW95&lt;&gt;"",'Group Stages'!$I101,"")</f>
        <v/>
      </c>
      <c r="CY95" s="209" t="str">
        <f>IF($CW95&lt;&gt;"",'Group Stages'!$K101,"")</f>
        <v/>
      </c>
      <c r="CZ95" s="209" t="str">
        <f>IF($CW95&lt;&gt;"",'Group Stages'!$M101,"")</f>
        <v/>
      </c>
    </row>
    <row r="96" spans="63:104">
      <c r="BK96" s="209" t="str">
        <f>IF(AND(COUNTIF($AF$4:$AF$35,'Group Stages'!G102)&gt;0,COUNTIF($AF$4:$AF$35,'Group Stages'!M102)&gt;0,'Group Stages'!I102&lt;&gt;"",'Group Stages'!K102&lt;&gt;""),'Group Stages'!G102,"")</f>
        <v/>
      </c>
      <c r="BL96" s="209" t="str">
        <f>IF($BK96&lt;&gt;"",'Group Stages'!I102,"")</f>
        <v/>
      </c>
      <c r="BM96" s="209" t="str">
        <f>IF($BK96&lt;&gt;"",'Group Stages'!K102,"")</f>
        <v/>
      </c>
      <c r="BN96" s="209" t="str">
        <f>IF($BK96&lt;&gt;"",'Group Stages'!M102,"")</f>
        <v/>
      </c>
      <c r="CW96" s="209" t="str">
        <f>IF(AND(COUNTIF($BR$4:$BR$35,'Group Stages'!$G102)&gt;0,COUNTIF($BR$4:$BR$35,'Group Stages'!$M102)&gt;0),'Group Stages'!$G102,"")</f>
        <v/>
      </c>
      <c r="CX96" s="209" t="str">
        <f>IF($CW96&lt;&gt;"",'Group Stages'!$I102,"")</f>
        <v/>
      </c>
      <c r="CY96" s="209" t="str">
        <f>IF($CW96&lt;&gt;"",'Group Stages'!$K102,"")</f>
        <v/>
      </c>
      <c r="CZ96" s="209" t="str">
        <f>IF($CW96&lt;&gt;"",'Group Stages'!$M102,"")</f>
        <v/>
      </c>
    </row>
    <row r="97" spans="63:104">
      <c r="BK97" s="209" t="str">
        <f>IF(AND(COUNTIF($AF$4:$AF$35,'Group Stages'!G103)&gt;0,COUNTIF($AF$4:$AF$35,'Group Stages'!M103)&gt;0,'Group Stages'!I103&lt;&gt;"",'Group Stages'!K103&lt;&gt;""),'Group Stages'!G103,"")</f>
        <v/>
      </c>
      <c r="BL97" s="209" t="str">
        <f>IF($BK97&lt;&gt;"",'Group Stages'!I103,"")</f>
        <v/>
      </c>
      <c r="BM97" s="209" t="str">
        <f>IF($BK97&lt;&gt;"",'Group Stages'!K103,"")</f>
        <v/>
      </c>
      <c r="BN97" s="209" t="str">
        <f>IF($BK97&lt;&gt;"",'Group Stages'!M103,"")</f>
        <v/>
      </c>
      <c r="CW97" s="209" t="str">
        <f>IF(AND(COUNTIF($BR$4:$BR$35,'Group Stages'!$G103)&gt;0,COUNTIF($BR$4:$BR$35,'Group Stages'!$M103)&gt;0),'Group Stages'!$G103,"")</f>
        <v/>
      </c>
      <c r="CX97" s="209" t="str">
        <f>IF($CW97&lt;&gt;"",'Group Stages'!$I103,"")</f>
        <v/>
      </c>
      <c r="CY97" s="209" t="str">
        <f>IF($CW97&lt;&gt;"",'Group Stages'!$K103,"")</f>
        <v/>
      </c>
      <c r="CZ97" s="209" t="str">
        <f>IF($CW97&lt;&gt;"",'Group Stages'!$M103,"")</f>
        <v/>
      </c>
    </row>
    <row r="98" spans="63:104">
      <c r="BK98" s="209" t="str">
        <f>IF(AND(COUNTIF($AF$4:$AF$35,'Group Stages'!G104)&gt;0,COUNTIF($AF$4:$AF$35,'Group Stages'!M104)&gt;0,'Group Stages'!I104&lt;&gt;"",'Group Stages'!K104&lt;&gt;""),'Group Stages'!G104,"")</f>
        <v/>
      </c>
      <c r="BL98" s="209" t="str">
        <f>IF($BK98&lt;&gt;"",'Group Stages'!I104,"")</f>
        <v/>
      </c>
      <c r="BM98" s="209" t="str">
        <f>IF($BK98&lt;&gt;"",'Group Stages'!K104,"")</f>
        <v/>
      </c>
      <c r="BN98" s="209" t="str">
        <f>IF($BK98&lt;&gt;"",'Group Stages'!M104,"")</f>
        <v/>
      </c>
      <c r="CW98" s="209" t="str">
        <f>IF(AND(COUNTIF($BR$4:$BR$35,'Group Stages'!$G104)&gt;0,COUNTIF($BR$4:$BR$35,'Group Stages'!$M104)&gt;0),'Group Stages'!$G104,"")</f>
        <v/>
      </c>
      <c r="CX98" s="209" t="str">
        <f>IF($CW98&lt;&gt;"",'Group Stages'!$I104,"")</f>
        <v/>
      </c>
      <c r="CY98" s="209" t="str">
        <f>IF($CW98&lt;&gt;"",'Group Stages'!$K104,"")</f>
        <v/>
      </c>
      <c r="CZ98" s="209" t="str">
        <f>IF($CW98&lt;&gt;"",'Group Stages'!$M104,"")</f>
        <v/>
      </c>
    </row>
    <row r="99" spans="63:104">
      <c r="BK99" s="209" t="str">
        <f>IF(AND(COUNTIF($AF$4:$AF$35,'Group Stages'!G105)&gt;0,COUNTIF($AF$4:$AF$35,'Group Stages'!M105)&gt;0,'Group Stages'!I105&lt;&gt;"",'Group Stages'!K105&lt;&gt;""),'Group Stages'!G105,"")</f>
        <v/>
      </c>
      <c r="BL99" s="209" t="str">
        <f>IF($BK99&lt;&gt;"",'Group Stages'!I105,"")</f>
        <v/>
      </c>
      <c r="BM99" s="209" t="str">
        <f>IF($BK99&lt;&gt;"",'Group Stages'!K105,"")</f>
        <v/>
      </c>
      <c r="BN99" s="209" t="str">
        <f>IF($BK99&lt;&gt;"",'Group Stages'!M105,"")</f>
        <v/>
      </c>
      <c r="CW99" s="209" t="str">
        <f>IF(AND(COUNTIF($BR$4:$BR$35,'Group Stages'!$G105)&gt;0,COUNTIF($BR$4:$BR$35,'Group Stages'!$M105)&gt;0),'Group Stages'!$G105,"")</f>
        <v/>
      </c>
      <c r="CX99" s="209" t="str">
        <f>IF($CW99&lt;&gt;"",'Group Stages'!$I105,"")</f>
        <v/>
      </c>
      <c r="CY99" s="209" t="str">
        <f>IF($CW99&lt;&gt;"",'Group Stages'!$K105,"")</f>
        <v/>
      </c>
      <c r="CZ99" s="209" t="str">
        <f>IF($CW99&lt;&gt;"",'Group Stages'!$M105,"")</f>
        <v/>
      </c>
    </row>
    <row r="100" spans="63:104">
      <c r="BK100" s="209" t="str">
        <f>IF(AND(COUNTIF($AF$4:$AF$35,'Group Stages'!G106)&gt;0,COUNTIF($AF$4:$AF$35,'Group Stages'!M106)&gt;0,'Group Stages'!I106&lt;&gt;"",'Group Stages'!K106&lt;&gt;""),'Group Stages'!G106,"")</f>
        <v/>
      </c>
      <c r="BL100" s="209" t="str">
        <f>IF($BK100&lt;&gt;"",'Group Stages'!I106,"")</f>
        <v/>
      </c>
      <c r="BM100" s="209" t="str">
        <f>IF($BK100&lt;&gt;"",'Group Stages'!K106,"")</f>
        <v/>
      </c>
      <c r="BN100" s="209" t="str">
        <f>IF($BK100&lt;&gt;"",'Group Stages'!M106,"")</f>
        <v/>
      </c>
      <c r="CW100" s="209" t="str">
        <f>IF(AND(COUNTIF($BR$4:$BR$35,'Group Stages'!$G106)&gt;0,COUNTIF($BR$4:$BR$35,'Group Stages'!$M106)&gt;0),'Group Stages'!$G106,"")</f>
        <v/>
      </c>
      <c r="CX100" s="209" t="str">
        <f>IF($CW100&lt;&gt;"",'Group Stages'!$I106,"")</f>
        <v/>
      </c>
      <c r="CY100" s="209" t="str">
        <f>IF($CW100&lt;&gt;"",'Group Stages'!$K106,"")</f>
        <v/>
      </c>
      <c r="CZ100" s="209" t="str">
        <f>IF($CW100&lt;&gt;"",'Group Stages'!$M106,"")</f>
        <v/>
      </c>
    </row>
    <row r="101" spans="63:104">
      <c r="BK101" s="209" t="str">
        <f>IF(AND(COUNTIF($AF$4:$AF$35,'Group Stages'!G107)&gt;0,COUNTIF($AF$4:$AF$35,'Group Stages'!M107)&gt;0,'Group Stages'!I107&lt;&gt;"",'Group Stages'!K107&lt;&gt;""),'Group Stages'!G107,"")</f>
        <v/>
      </c>
      <c r="BL101" s="209" t="str">
        <f>IF($BK101&lt;&gt;"",'Group Stages'!I107,"")</f>
        <v/>
      </c>
      <c r="BM101" s="209" t="str">
        <f>IF($BK101&lt;&gt;"",'Group Stages'!K107,"")</f>
        <v/>
      </c>
      <c r="BN101" s="209" t="str">
        <f>IF($BK101&lt;&gt;"",'Group Stages'!M107,"")</f>
        <v/>
      </c>
      <c r="CW101" s="209" t="str">
        <f>IF(AND(COUNTIF($BR$4:$BR$35,'Group Stages'!$G107)&gt;0,COUNTIF($BR$4:$BR$35,'Group Stages'!$M107)&gt;0),'Group Stages'!$G107,"")</f>
        <v/>
      </c>
      <c r="CX101" s="209" t="str">
        <f>IF($CW101&lt;&gt;"",'Group Stages'!$I107,"")</f>
        <v/>
      </c>
      <c r="CY101" s="209" t="str">
        <f>IF($CW101&lt;&gt;"",'Group Stages'!$K107,"")</f>
        <v/>
      </c>
      <c r="CZ101" s="209" t="str">
        <f>IF($CW101&lt;&gt;"",'Group Stages'!$M107,"")</f>
        <v/>
      </c>
    </row>
    <row r="102" spans="63:104">
      <c r="BK102" s="209" t="str">
        <f>IF(AND(COUNTIF($AF$4:$AF$35,'Group Stages'!G108)&gt;0,COUNTIF($AF$4:$AF$35,'Group Stages'!M108)&gt;0,'Group Stages'!I108&lt;&gt;"",'Group Stages'!K108&lt;&gt;""),'Group Stages'!G108,"")</f>
        <v/>
      </c>
      <c r="BL102" s="209" t="str">
        <f>IF($BK102&lt;&gt;"",'Group Stages'!I108,"")</f>
        <v/>
      </c>
      <c r="BM102" s="209" t="str">
        <f>IF($BK102&lt;&gt;"",'Group Stages'!K108,"")</f>
        <v/>
      </c>
      <c r="BN102" s="209" t="str">
        <f>IF($BK102&lt;&gt;"",'Group Stages'!M108,"")</f>
        <v/>
      </c>
      <c r="CW102" s="209" t="str">
        <f>IF(AND(COUNTIF($BR$4:$BR$35,'Group Stages'!$G108)&gt;0,COUNTIF($BR$4:$BR$35,'Group Stages'!$M108)&gt;0),'Group Stages'!$G108,"")</f>
        <v/>
      </c>
      <c r="CX102" s="209" t="str">
        <f>IF($CW102&lt;&gt;"",'Group Stages'!$I108,"")</f>
        <v/>
      </c>
      <c r="CY102" s="209" t="str">
        <f>IF($CW102&lt;&gt;"",'Group Stages'!$K108,"")</f>
        <v/>
      </c>
      <c r="CZ102" s="209" t="str">
        <f>IF($CW102&lt;&gt;"",'Group Stages'!$M108,"")</f>
        <v/>
      </c>
    </row>
    <row r="103" spans="63:104">
      <c r="BK103" s="209" t="str">
        <f>IF(AND(COUNTIF($AF$4:$AF$35,'Group Stages'!G109)&gt;0,COUNTIF($AF$4:$AF$35,'Group Stages'!M109)&gt;0,'Group Stages'!I109&lt;&gt;"",'Group Stages'!K109&lt;&gt;""),'Group Stages'!G109,"")</f>
        <v/>
      </c>
      <c r="BL103" s="209" t="str">
        <f>IF($BK103&lt;&gt;"",'Group Stages'!I109,"")</f>
        <v/>
      </c>
      <c r="BM103" s="209" t="str">
        <f>IF($BK103&lt;&gt;"",'Group Stages'!K109,"")</f>
        <v/>
      </c>
      <c r="BN103" s="209" t="str">
        <f>IF($BK103&lt;&gt;"",'Group Stages'!M109,"")</f>
        <v/>
      </c>
      <c r="CW103" s="209" t="str">
        <f>IF(AND(COUNTIF($BR$4:$BR$35,'Group Stages'!$G109)&gt;0,COUNTIF($BR$4:$BR$35,'Group Stages'!$M109)&gt;0),'Group Stages'!$G109,"")</f>
        <v/>
      </c>
      <c r="CX103" s="209" t="str">
        <f>IF($CW103&lt;&gt;"",'Group Stages'!$I109,"")</f>
        <v/>
      </c>
      <c r="CY103" s="209" t="str">
        <f>IF($CW103&lt;&gt;"",'Group Stages'!$K109,"")</f>
        <v/>
      </c>
      <c r="CZ103" s="209" t="str">
        <f>IF($CW103&lt;&gt;"",'Group Stages'!$M109,"")</f>
        <v/>
      </c>
    </row>
    <row r="104" spans="63:104">
      <c r="BK104" s="209" t="str">
        <f>IF(AND(COUNTIF($AF$4:$AF$35,'Group Stages'!G110)&gt;0,COUNTIF($AF$4:$AF$35,'Group Stages'!M110)&gt;0,'Group Stages'!I110&lt;&gt;"",'Group Stages'!K110&lt;&gt;""),'Group Stages'!G110,"")</f>
        <v/>
      </c>
      <c r="BL104" s="209" t="str">
        <f>IF($BK104&lt;&gt;"",'Group Stages'!I110,"")</f>
        <v/>
      </c>
      <c r="BM104" s="209" t="str">
        <f>IF($BK104&lt;&gt;"",'Group Stages'!K110,"")</f>
        <v/>
      </c>
      <c r="BN104" s="209" t="str">
        <f>IF($BK104&lt;&gt;"",'Group Stages'!M110,"")</f>
        <v/>
      </c>
      <c r="CW104" s="209" t="str">
        <f>IF(AND(COUNTIF($BR$4:$BR$35,'Group Stages'!$G110)&gt;0,COUNTIF($BR$4:$BR$35,'Group Stages'!$M110)&gt;0),'Group Stages'!$G110,"")</f>
        <v/>
      </c>
      <c r="CX104" s="209" t="str">
        <f>IF($CW104&lt;&gt;"",'Group Stages'!$I110,"")</f>
        <v/>
      </c>
      <c r="CY104" s="209" t="str">
        <f>IF($CW104&lt;&gt;"",'Group Stages'!$K110,"")</f>
        <v/>
      </c>
      <c r="CZ104" s="209" t="str">
        <f>IF($CW104&lt;&gt;"",'Group Stages'!$M110,"")</f>
        <v/>
      </c>
    </row>
    <row r="105" spans="63:104">
      <c r="BK105" s="209" t="str">
        <f>IF(AND(COUNTIF($AF$4:$AF$35,'Group Stages'!G111)&gt;0,COUNTIF($AF$4:$AF$35,'Group Stages'!M111)&gt;0,'Group Stages'!I111&lt;&gt;"",'Group Stages'!K111&lt;&gt;""),'Group Stages'!G111,"")</f>
        <v/>
      </c>
      <c r="BL105" s="209" t="str">
        <f>IF($BK105&lt;&gt;"",'Group Stages'!I111,"")</f>
        <v/>
      </c>
      <c r="BM105" s="209" t="str">
        <f>IF($BK105&lt;&gt;"",'Group Stages'!K111,"")</f>
        <v/>
      </c>
      <c r="BN105" s="209" t="str">
        <f>IF($BK105&lt;&gt;"",'Group Stages'!M111,"")</f>
        <v/>
      </c>
      <c r="CW105" s="209" t="str">
        <f>IF(AND(COUNTIF($BR$4:$BR$35,'Group Stages'!$G111)&gt;0,COUNTIF($BR$4:$BR$35,'Group Stages'!$M111)&gt;0),'Group Stages'!$G111,"")</f>
        <v/>
      </c>
      <c r="CX105" s="209" t="str">
        <f>IF($CW105&lt;&gt;"",'Group Stages'!$I111,"")</f>
        <v/>
      </c>
      <c r="CY105" s="209" t="str">
        <f>IF($CW105&lt;&gt;"",'Group Stages'!$K111,"")</f>
        <v/>
      </c>
      <c r="CZ105" s="209" t="str">
        <f>IF($CW105&lt;&gt;"",'Group Stages'!$M111,"")</f>
        <v/>
      </c>
    </row>
    <row r="106" spans="63:104">
      <c r="BK106" s="209" t="str">
        <f>IF(AND(COUNTIF($AF$4:$AF$35,'Group Stages'!G112)&gt;0,COUNTIF($AF$4:$AF$35,'Group Stages'!M112)&gt;0,'Group Stages'!I112&lt;&gt;"",'Group Stages'!K112&lt;&gt;""),'Group Stages'!G112,"")</f>
        <v/>
      </c>
      <c r="BL106" s="209" t="str">
        <f>IF($BK106&lt;&gt;"",'Group Stages'!I112,"")</f>
        <v/>
      </c>
      <c r="BM106" s="209" t="str">
        <f>IF($BK106&lt;&gt;"",'Group Stages'!K112,"")</f>
        <v/>
      </c>
      <c r="BN106" s="209" t="str">
        <f>IF($BK106&lt;&gt;"",'Group Stages'!M112,"")</f>
        <v/>
      </c>
      <c r="CW106" s="209" t="str">
        <f>IF(AND(COUNTIF($BR$4:$BR$35,'Group Stages'!$G112)&gt;0,COUNTIF($BR$4:$BR$35,'Group Stages'!$M112)&gt;0),'Group Stages'!$G112,"")</f>
        <v/>
      </c>
      <c r="CX106" s="209" t="str">
        <f>IF($CW106&lt;&gt;"",'Group Stages'!$I112,"")</f>
        <v/>
      </c>
      <c r="CY106" s="209" t="str">
        <f>IF($CW106&lt;&gt;"",'Group Stages'!$K112,"")</f>
        <v/>
      </c>
      <c r="CZ106" s="209" t="str">
        <f>IF($CW106&lt;&gt;"",'Group Stages'!$M112,"")</f>
        <v/>
      </c>
    </row>
    <row r="107" spans="63:104">
      <c r="BK107" s="209" t="str">
        <f>IF(AND(COUNTIF($AF$4:$AF$35,'Group Stages'!G113)&gt;0,COUNTIF($AF$4:$AF$35,'Group Stages'!M113)&gt;0,'Group Stages'!I113&lt;&gt;"",'Group Stages'!K113&lt;&gt;""),'Group Stages'!G113,"")</f>
        <v/>
      </c>
      <c r="BL107" s="209" t="str">
        <f>IF($BK107&lt;&gt;"",'Group Stages'!I113,"")</f>
        <v/>
      </c>
      <c r="BM107" s="209" t="str">
        <f>IF($BK107&lt;&gt;"",'Group Stages'!K113,"")</f>
        <v/>
      </c>
      <c r="BN107" s="209" t="str">
        <f>IF($BK107&lt;&gt;"",'Group Stages'!M113,"")</f>
        <v/>
      </c>
      <c r="CW107" s="209" t="str">
        <f>IF(AND(COUNTIF($BR$4:$BR$35,'Group Stages'!$G113)&gt;0,COUNTIF($BR$4:$BR$35,'Group Stages'!$M113)&gt;0),'Group Stages'!$G113,"")</f>
        <v/>
      </c>
      <c r="CX107" s="209" t="str">
        <f>IF($CW107&lt;&gt;"",'Group Stages'!$I113,"")</f>
        <v/>
      </c>
      <c r="CY107" s="209" t="str">
        <f>IF($CW107&lt;&gt;"",'Group Stages'!$K113,"")</f>
        <v/>
      </c>
      <c r="CZ107" s="209" t="str">
        <f>IF($CW107&lt;&gt;"",'Group Stages'!$M113,"")</f>
        <v/>
      </c>
    </row>
    <row r="108" spans="63:104">
      <c r="BK108" s="209" t="str">
        <f>IF(AND(COUNTIF($AF$4:$AF$35,'Group Stages'!G114)&gt;0,COUNTIF($AF$4:$AF$35,'Group Stages'!M114)&gt;0,'Group Stages'!I114&lt;&gt;"",'Group Stages'!K114&lt;&gt;""),'Group Stages'!G114,"")</f>
        <v/>
      </c>
      <c r="BL108" s="209" t="str">
        <f>IF($BK108&lt;&gt;"",'Group Stages'!I114,"")</f>
        <v/>
      </c>
      <c r="BM108" s="209" t="str">
        <f>IF($BK108&lt;&gt;"",'Group Stages'!K114,"")</f>
        <v/>
      </c>
      <c r="BN108" s="209" t="str">
        <f>IF($BK108&lt;&gt;"",'Group Stages'!M114,"")</f>
        <v/>
      </c>
      <c r="CW108" s="209" t="str">
        <f>IF(AND(COUNTIF($BR$4:$BR$35,'Group Stages'!$G114)&gt;0,COUNTIF($BR$4:$BR$35,'Group Stages'!$M114)&gt;0),'Group Stages'!$G114,"")</f>
        <v/>
      </c>
      <c r="CX108" s="209" t="str">
        <f>IF($CW108&lt;&gt;"",'Group Stages'!$I114,"")</f>
        <v/>
      </c>
      <c r="CY108" s="209" t="str">
        <f>IF($CW108&lt;&gt;"",'Group Stages'!$K114,"")</f>
        <v/>
      </c>
      <c r="CZ108" s="209" t="str">
        <f>IF($CW108&lt;&gt;"",'Group Stages'!$M114,"")</f>
        <v/>
      </c>
    </row>
    <row r="109" spans="63:104">
      <c r="BK109" s="209" t="str">
        <f>IF(AND(COUNTIF($AF$4:$AF$35,'Group Stages'!G115)&gt;0,COUNTIF($AF$4:$AF$35,'Group Stages'!M115)&gt;0,'Group Stages'!I115&lt;&gt;"",'Group Stages'!K115&lt;&gt;""),'Group Stages'!G115,"")</f>
        <v/>
      </c>
      <c r="BL109" s="209" t="str">
        <f>IF($BK109&lt;&gt;"",'Group Stages'!I115,"")</f>
        <v/>
      </c>
      <c r="BM109" s="209" t="str">
        <f>IF($BK109&lt;&gt;"",'Group Stages'!K115,"")</f>
        <v/>
      </c>
      <c r="BN109" s="209" t="str">
        <f>IF($BK109&lt;&gt;"",'Group Stages'!M115,"")</f>
        <v/>
      </c>
      <c r="CW109" s="209" t="str">
        <f>IF(AND(COUNTIF($BR$4:$BR$35,'Group Stages'!$G115)&gt;0,COUNTIF($BR$4:$BR$35,'Group Stages'!$M115)&gt;0),'Group Stages'!$G115,"")</f>
        <v/>
      </c>
      <c r="CX109" s="209" t="str">
        <f>IF($CW109&lt;&gt;"",'Group Stages'!$I115,"")</f>
        <v/>
      </c>
      <c r="CY109" s="209" t="str">
        <f>IF($CW109&lt;&gt;"",'Group Stages'!$K115,"")</f>
        <v/>
      </c>
      <c r="CZ109" s="209" t="str">
        <f>IF($CW109&lt;&gt;"",'Group Stages'!$M115,"")</f>
        <v/>
      </c>
    </row>
    <row r="110" spans="63:104">
      <c r="BK110" s="209" t="str">
        <f>IF(AND(COUNTIF($AF$4:$AF$35,'Group Stages'!G116)&gt;0,COUNTIF($AF$4:$AF$35,'Group Stages'!M116)&gt;0,'Group Stages'!I116&lt;&gt;"",'Group Stages'!K116&lt;&gt;""),'Group Stages'!G116,"")</f>
        <v/>
      </c>
      <c r="BL110" s="209" t="str">
        <f>IF($BK110&lt;&gt;"",'Group Stages'!I116,"")</f>
        <v/>
      </c>
      <c r="BM110" s="209" t="str">
        <f>IF($BK110&lt;&gt;"",'Group Stages'!K116,"")</f>
        <v/>
      </c>
      <c r="BN110" s="209" t="str">
        <f>IF($BK110&lt;&gt;"",'Group Stages'!M116,"")</f>
        <v/>
      </c>
      <c r="CW110" s="209" t="str">
        <f>IF(AND(COUNTIF($BR$4:$BR$35,'Group Stages'!$G116)&gt;0,COUNTIF($BR$4:$BR$35,'Group Stages'!$M116)&gt;0),'Group Stages'!$G116,"")</f>
        <v/>
      </c>
      <c r="CX110" s="209" t="str">
        <f>IF($CW110&lt;&gt;"",'Group Stages'!$I116,"")</f>
        <v/>
      </c>
      <c r="CY110" s="209" t="str">
        <f>IF($CW110&lt;&gt;"",'Group Stages'!$K116,"")</f>
        <v/>
      </c>
      <c r="CZ110" s="209" t="str">
        <f>IF($CW110&lt;&gt;"",'Group Stages'!$M116,"")</f>
        <v/>
      </c>
    </row>
    <row r="111" spans="63:104">
      <c r="BK111" s="209" t="str">
        <f>IF(AND(COUNTIF($AF$4:$AF$35,'Group Stages'!G117)&gt;0,COUNTIF($AF$4:$AF$35,'Group Stages'!M117)&gt;0,'Group Stages'!I117&lt;&gt;"",'Group Stages'!K117&lt;&gt;""),'Group Stages'!G117,"")</f>
        <v/>
      </c>
      <c r="BL111" s="209" t="str">
        <f>IF($BK111&lt;&gt;"",'Group Stages'!I117,"")</f>
        <v/>
      </c>
      <c r="BM111" s="209" t="str">
        <f>IF($BK111&lt;&gt;"",'Group Stages'!K117,"")</f>
        <v/>
      </c>
      <c r="BN111" s="209" t="str">
        <f>IF($BK111&lt;&gt;"",'Group Stages'!M117,"")</f>
        <v/>
      </c>
      <c r="CW111" s="209" t="str">
        <f>IF(AND(COUNTIF($BR$4:$BR$35,'Group Stages'!$G117)&gt;0,COUNTIF($BR$4:$BR$35,'Group Stages'!$M117)&gt;0),'Group Stages'!$G117,"")</f>
        <v/>
      </c>
      <c r="CX111" s="209" t="str">
        <f>IF($CW111&lt;&gt;"",'Group Stages'!$I117,"")</f>
        <v/>
      </c>
      <c r="CY111" s="209" t="str">
        <f>IF($CW111&lt;&gt;"",'Group Stages'!$K117,"")</f>
        <v/>
      </c>
      <c r="CZ111" s="209" t="str">
        <f>IF($CW111&lt;&gt;"",'Group Stages'!$M117,"")</f>
        <v/>
      </c>
    </row>
    <row r="112" spans="63:104">
      <c r="BK112" s="209" t="str">
        <f>IF(AND(COUNTIF($AF$4:$AF$35,'Group Stages'!G118)&gt;0,COUNTIF($AF$4:$AF$35,'Group Stages'!M118)&gt;0,'Group Stages'!I118&lt;&gt;"",'Group Stages'!K118&lt;&gt;""),'Group Stages'!G118,"")</f>
        <v/>
      </c>
      <c r="BL112" s="209" t="str">
        <f>IF($BK112&lt;&gt;"",'Group Stages'!I118,"")</f>
        <v/>
      </c>
      <c r="BM112" s="209" t="str">
        <f>IF($BK112&lt;&gt;"",'Group Stages'!K118,"")</f>
        <v/>
      </c>
      <c r="BN112" s="209" t="str">
        <f>IF($BK112&lt;&gt;"",'Group Stages'!M118,"")</f>
        <v/>
      </c>
      <c r="CW112" s="209" t="str">
        <f>IF(AND(COUNTIF($BR$4:$BR$35,'Group Stages'!$G118)&gt;0,COUNTIF($BR$4:$BR$35,'Group Stages'!$M118)&gt;0),'Group Stages'!$G118,"")</f>
        <v/>
      </c>
      <c r="CX112" s="209" t="str">
        <f>IF($CW112&lt;&gt;"",'Group Stages'!$I118,"")</f>
        <v/>
      </c>
      <c r="CY112" s="209" t="str">
        <f>IF($CW112&lt;&gt;"",'Group Stages'!$K118,"")</f>
        <v/>
      </c>
      <c r="CZ112" s="209" t="str">
        <f>IF($CW112&lt;&gt;"",'Group Stages'!$M118,"")</f>
        <v/>
      </c>
    </row>
    <row r="113" spans="63:104">
      <c r="BK113" s="209" t="str">
        <f>IF(AND(COUNTIF($AF$4:$AF$35,'Group Stages'!G119)&gt;0,COUNTIF($AF$4:$AF$35,'Group Stages'!M119)&gt;0,'Group Stages'!I119&lt;&gt;"",'Group Stages'!K119&lt;&gt;""),'Group Stages'!G119,"")</f>
        <v/>
      </c>
      <c r="BL113" s="209" t="str">
        <f>IF($BK113&lt;&gt;"",'Group Stages'!I119,"")</f>
        <v/>
      </c>
      <c r="BM113" s="209" t="str">
        <f>IF($BK113&lt;&gt;"",'Group Stages'!K119,"")</f>
        <v/>
      </c>
      <c r="BN113" s="209" t="str">
        <f>IF($BK113&lt;&gt;"",'Group Stages'!M119,"")</f>
        <v/>
      </c>
      <c r="CW113" s="209" t="str">
        <f>IF(AND(COUNTIF($BR$4:$BR$35,'Group Stages'!$G119)&gt;0,COUNTIF($BR$4:$BR$35,'Group Stages'!$M119)&gt;0),'Group Stages'!$G119,"")</f>
        <v/>
      </c>
      <c r="CX113" s="209" t="str">
        <f>IF($CW113&lt;&gt;"",'Group Stages'!$I119,"")</f>
        <v/>
      </c>
      <c r="CY113" s="209" t="str">
        <f>IF($CW113&lt;&gt;"",'Group Stages'!$K119,"")</f>
        <v/>
      </c>
      <c r="CZ113" s="209" t="str">
        <f>IF($CW113&lt;&gt;"",'Group Stages'!$M119,"")</f>
        <v/>
      </c>
    </row>
    <row r="114" spans="63:104">
      <c r="BK114" s="209" t="str">
        <f>IF(AND(COUNTIF($AF$4:$AF$35,'Group Stages'!G120)&gt;0,COUNTIF($AF$4:$AF$35,'Group Stages'!M120)&gt;0,'Group Stages'!I120&lt;&gt;"",'Group Stages'!K120&lt;&gt;""),'Group Stages'!G120,"")</f>
        <v/>
      </c>
      <c r="BL114" s="209" t="str">
        <f>IF($BK114&lt;&gt;"",'Group Stages'!I120,"")</f>
        <v/>
      </c>
      <c r="BM114" s="209" t="str">
        <f>IF($BK114&lt;&gt;"",'Group Stages'!K120,"")</f>
        <v/>
      </c>
      <c r="BN114" s="209" t="str">
        <f>IF($BK114&lt;&gt;"",'Group Stages'!M120,"")</f>
        <v/>
      </c>
      <c r="CW114" s="209" t="str">
        <f>IF(AND(COUNTIF($BR$4:$BR$35,'Group Stages'!$G120)&gt;0,COUNTIF($BR$4:$BR$35,'Group Stages'!$M120)&gt;0),'Group Stages'!$G120,"")</f>
        <v/>
      </c>
      <c r="CX114" s="209" t="str">
        <f>IF($CW114&lt;&gt;"",'Group Stages'!$I120,"")</f>
        <v/>
      </c>
      <c r="CY114" s="209" t="str">
        <f>IF($CW114&lt;&gt;"",'Group Stages'!$K120,"")</f>
        <v/>
      </c>
      <c r="CZ114" s="209" t="str">
        <f>IF($CW114&lt;&gt;"",'Group Stages'!$M120,"")</f>
        <v/>
      </c>
    </row>
    <row r="115" spans="63:104">
      <c r="BK115" s="209" t="str">
        <f>IF(AND(COUNTIF($AF$4:$AF$35,'Group Stages'!G121)&gt;0,COUNTIF($AF$4:$AF$35,'Group Stages'!M121)&gt;0,'Group Stages'!I121&lt;&gt;"",'Group Stages'!K121&lt;&gt;""),'Group Stages'!G121,"")</f>
        <v/>
      </c>
      <c r="BL115" s="209" t="str">
        <f>IF($BK115&lt;&gt;"",'Group Stages'!I121,"")</f>
        <v/>
      </c>
      <c r="BM115" s="209" t="str">
        <f>IF($BK115&lt;&gt;"",'Group Stages'!K121,"")</f>
        <v/>
      </c>
      <c r="BN115" s="209" t="str">
        <f>IF($BK115&lt;&gt;"",'Group Stages'!M121,"")</f>
        <v/>
      </c>
      <c r="CW115" s="209" t="str">
        <f>IF(AND(COUNTIF($BR$4:$BR$35,'Group Stages'!$G121)&gt;0,COUNTIF($BR$4:$BR$35,'Group Stages'!$M121)&gt;0),'Group Stages'!$G121,"")</f>
        <v/>
      </c>
      <c r="CX115" s="209" t="str">
        <f>IF($CW115&lt;&gt;"",'Group Stages'!$I121,"")</f>
        <v/>
      </c>
      <c r="CY115" s="209" t="str">
        <f>IF($CW115&lt;&gt;"",'Group Stages'!$K121,"")</f>
        <v/>
      </c>
      <c r="CZ115" s="209" t="str">
        <f>IF($CW115&lt;&gt;"",'Group Stages'!$M121,"")</f>
        <v/>
      </c>
    </row>
    <row r="116" spans="63:104">
      <c r="BK116" s="209" t="str">
        <f>IF(AND(COUNTIF($AF$4:$AF$35,'Group Stages'!G122)&gt;0,COUNTIF($AF$4:$AF$35,'Group Stages'!M122)&gt;0,'Group Stages'!I122&lt;&gt;"",'Group Stages'!K122&lt;&gt;""),'Group Stages'!G122,"")</f>
        <v/>
      </c>
      <c r="BL116" s="209" t="str">
        <f>IF($BK116&lt;&gt;"",'Group Stages'!I122,"")</f>
        <v/>
      </c>
      <c r="BM116" s="209" t="str">
        <f>IF($BK116&lt;&gt;"",'Group Stages'!K122,"")</f>
        <v/>
      </c>
      <c r="BN116" s="209" t="str">
        <f>IF($BK116&lt;&gt;"",'Group Stages'!M122,"")</f>
        <v/>
      </c>
      <c r="CW116" s="209" t="str">
        <f>IF(AND(COUNTIF($BR$4:$BR$35,'Group Stages'!$G122)&gt;0,COUNTIF($BR$4:$BR$35,'Group Stages'!$M122)&gt;0),'Group Stages'!$G122,"")</f>
        <v/>
      </c>
      <c r="CX116" s="209" t="str">
        <f>IF($CW116&lt;&gt;"",'Group Stages'!$I122,"")</f>
        <v/>
      </c>
      <c r="CY116" s="209" t="str">
        <f>IF($CW116&lt;&gt;"",'Group Stages'!$K122,"")</f>
        <v/>
      </c>
      <c r="CZ116" s="209" t="str">
        <f>IF($CW116&lt;&gt;"",'Group Stages'!$M122,"")</f>
        <v/>
      </c>
    </row>
    <row r="117" spans="63:104">
      <c r="BK117" s="209" t="str">
        <f>IF(AND(COUNTIF($AF$4:$AF$35,'Group Stages'!G123)&gt;0,COUNTIF($AF$4:$AF$35,'Group Stages'!M123)&gt;0,'Group Stages'!I123&lt;&gt;"",'Group Stages'!K123&lt;&gt;""),'Group Stages'!G123,"")</f>
        <v/>
      </c>
      <c r="BL117" s="209" t="str">
        <f>IF($BK117&lt;&gt;"",'Group Stages'!I123,"")</f>
        <v/>
      </c>
      <c r="BM117" s="209" t="str">
        <f>IF($BK117&lt;&gt;"",'Group Stages'!K123,"")</f>
        <v/>
      </c>
      <c r="BN117" s="209" t="str">
        <f>IF($BK117&lt;&gt;"",'Group Stages'!M123,"")</f>
        <v/>
      </c>
      <c r="CW117" s="209" t="str">
        <f>IF(AND(COUNTIF($BR$4:$BR$35,'Group Stages'!$G123)&gt;0,COUNTIF($BR$4:$BR$35,'Group Stages'!$M123)&gt;0),'Group Stages'!$G123,"")</f>
        <v/>
      </c>
      <c r="CX117" s="209" t="str">
        <f>IF($CW117&lt;&gt;"",'Group Stages'!$I123,"")</f>
        <v/>
      </c>
      <c r="CY117" s="209" t="str">
        <f>IF($CW117&lt;&gt;"",'Group Stages'!$K123,"")</f>
        <v/>
      </c>
      <c r="CZ117" s="209" t="str">
        <f>IF($CW117&lt;&gt;"",'Group Stages'!$M123,"")</f>
        <v/>
      </c>
    </row>
    <row r="118" spans="63:104">
      <c r="BK118" s="209" t="str">
        <f>IF(AND(COUNTIF($AF$4:$AF$35,'Group Stages'!G124)&gt;0,COUNTIF($AF$4:$AF$35,'Group Stages'!M124)&gt;0,'Group Stages'!I124&lt;&gt;"",'Group Stages'!K124&lt;&gt;""),'Group Stages'!G124,"")</f>
        <v/>
      </c>
      <c r="BL118" s="209" t="str">
        <f>IF($BK118&lt;&gt;"",'Group Stages'!I124,"")</f>
        <v/>
      </c>
      <c r="BM118" s="209" t="str">
        <f>IF($BK118&lt;&gt;"",'Group Stages'!K124,"")</f>
        <v/>
      </c>
      <c r="BN118" s="209" t="str">
        <f>IF($BK118&lt;&gt;"",'Group Stages'!M124,"")</f>
        <v/>
      </c>
      <c r="CW118" s="209" t="str">
        <f>IF(AND(COUNTIF($BR$4:$BR$35,'Group Stages'!$G124)&gt;0,COUNTIF($BR$4:$BR$35,'Group Stages'!$M124)&gt;0),'Group Stages'!$G124,"")</f>
        <v/>
      </c>
      <c r="CX118" s="209" t="str">
        <f>IF($CW118&lt;&gt;"",'Group Stages'!$I124,"")</f>
        <v/>
      </c>
      <c r="CY118" s="209" t="str">
        <f>IF($CW118&lt;&gt;"",'Group Stages'!$K124,"")</f>
        <v/>
      </c>
      <c r="CZ118" s="209" t="str">
        <f>IF($CW118&lt;&gt;"",'Group Stages'!$M124,"")</f>
        <v/>
      </c>
    </row>
    <row r="119" spans="63:104">
      <c r="BK119" s="209" t="str">
        <f>IF(AND(COUNTIF($AF$4:$AF$35,'Group Stages'!G125)&gt;0,COUNTIF($AF$4:$AF$35,'Group Stages'!M125)&gt;0,'Group Stages'!I125&lt;&gt;"",'Group Stages'!K125&lt;&gt;""),'Group Stages'!G125,"")</f>
        <v/>
      </c>
      <c r="BL119" s="209" t="str">
        <f>IF($BK119&lt;&gt;"",'Group Stages'!I125,"")</f>
        <v/>
      </c>
      <c r="BM119" s="209" t="str">
        <f>IF($BK119&lt;&gt;"",'Group Stages'!K125,"")</f>
        <v/>
      </c>
      <c r="BN119" s="209" t="str">
        <f>IF($BK119&lt;&gt;"",'Group Stages'!M125,"")</f>
        <v/>
      </c>
      <c r="CW119" s="209" t="str">
        <f>IF(AND(COUNTIF($BR$4:$BR$35,'Group Stages'!$G125)&gt;0,COUNTIF($BR$4:$BR$35,'Group Stages'!$M125)&gt;0),'Group Stages'!$G125,"")</f>
        <v/>
      </c>
      <c r="CX119" s="209" t="str">
        <f>IF($CW119&lt;&gt;"",'Group Stages'!$I125,"")</f>
        <v/>
      </c>
      <c r="CY119" s="209" t="str">
        <f>IF($CW119&lt;&gt;"",'Group Stages'!$K125,"")</f>
        <v/>
      </c>
      <c r="CZ119" s="209" t="str">
        <f>IF($CW119&lt;&gt;"",'Group Stages'!$M125,"")</f>
        <v/>
      </c>
    </row>
    <row r="120" spans="63:104">
      <c r="BK120" s="209" t="str">
        <f>IF(AND(COUNTIF($AF$4:$AF$35,'Group Stages'!G126)&gt;0,COUNTIF($AF$4:$AF$35,'Group Stages'!M126)&gt;0,'Group Stages'!I126&lt;&gt;"",'Group Stages'!K126&lt;&gt;""),'Group Stages'!G126,"")</f>
        <v/>
      </c>
      <c r="BL120" s="209" t="str">
        <f>IF($BK120&lt;&gt;"",'Group Stages'!I126,"")</f>
        <v/>
      </c>
      <c r="BM120" s="209" t="str">
        <f>IF($BK120&lt;&gt;"",'Group Stages'!K126,"")</f>
        <v/>
      </c>
      <c r="BN120" s="209" t="str">
        <f>IF($BK120&lt;&gt;"",'Group Stages'!M126,"")</f>
        <v/>
      </c>
      <c r="CW120" s="209" t="str">
        <f>IF(AND(COUNTIF($BR$4:$BR$35,'Group Stages'!$G126)&gt;0,COUNTIF($BR$4:$BR$35,'Group Stages'!$M126)&gt;0),'Group Stages'!$G126,"")</f>
        <v/>
      </c>
      <c r="CX120" s="209" t="str">
        <f>IF($CW120&lt;&gt;"",'Group Stages'!$I126,"")</f>
        <v/>
      </c>
      <c r="CY120" s="209" t="str">
        <f>IF($CW120&lt;&gt;"",'Group Stages'!$K126,"")</f>
        <v/>
      </c>
      <c r="CZ120" s="209" t="str">
        <f>IF($CW120&lt;&gt;"",'Group Stages'!$M126,"")</f>
        <v/>
      </c>
    </row>
    <row r="121" spans="63:104">
      <c r="BK121" s="209" t="str">
        <f>IF(AND(COUNTIF($AF$4:$AF$35,'Group Stages'!G127)&gt;0,COUNTIF($AF$4:$AF$35,'Group Stages'!M127)&gt;0,'Group Stages'!I127&lt;&gt;"",'Group Stages'!K127&lt;&gt;""),'Group Stages'!G127,"")</f>
        <v/>
      </c>
      <c r="BL121" s="209" t="str">
        <f>IF($BK121&lt;&gt;"",'Group Stages'!I127,"")</f>
        <v/>
      </c>
      <c r="BM121" s="209" t="str">
        <f>IF($BK121&lt;&gt;"",'Group Stages'!K127,"")</f>
        <v/>
      </c>
      <c r="BN121" s="209" t="str">
        <f>IF($BK121&lt;&gt;"",'Group Stages'!M127,"")</f>
        <v/>
      </c>
      <c r="CW121" s="209" t="str">
        <f>IF(AND(COUNTIF($BR$4:$BR$35,'Group Stages'!$G127)&gt;0,COUNTIF($BR$4:$BR$35,'Group Stages'!$M127)&gt;0),'Group Stages'!$G127,"")</f>
        <v/>
      </c>
      <c r="CX121" s="209" t="str">
        <f>IF($CW121&lt;&gt;"",'Group Stages'!$I127,"")</f>
        <v/>
      </c>
      <c r="CY121" s="209" t="str">
        <f>IF($CW121&lt;&gt;"",'Group Stages'!$K127,"")</f>
        <v/>
      </c>
      <c r="CZ121" s="209" t="str">
        <f>IF($CW121&lt;&gt;"",'Group Stages'!$M127,"")</f>
        <v/>
      </c>
    </row>
    <row r="122" spans="63:104">
      <c r="BK122" s="209" t="str">
        <f>IF(AND(COUNTIF($AF$4:$AF$35,'Group Stages'!G128)&gt;0,COUNTIF($AF$4:$AF$35,'Group Stages'!M128)&gt;0,'Group Stages'!I128&lt;&gt;"",'Group Stages'!K128&lt;&gt;""),'Group Stages'!G128,"")</f>
        <v/>
      </c>
      <c r="BL122" s="209" t="str">
        <f>IF($BK122&lt;&gt;"",'Group Stages'!I128,"")</f>
        <v/>
      </c>
      <c r="BM122" s="209" t="str">
        <f>IF($BK122&lt;&gt;"",'Group Stages'!K128,"")</f>
        <v/>
      </c>
      <c r="BN122" s="209" t="str">
        <f>IF($BK122&lt;&gt;"",'Group Stages'!M128,"")</f>
        <v/>
      </c>
      <c r="CW122" s="209" t="str">
        <f>IF(AND(COUNTIF($BR$4:$BR$35,'Group Stages'!$G128)&gt;0,COUNTIF($BR$4:$BR$35,'Group Stages'!$M128)&gt;0),'Group Stages'!$G128,"")</f>
        <v/>
      </c>
      <c r="CX122" s="209" t="str">
        <f>IF($CW122&lt;&gt;"",'Group Stages'!$I128,"")</f>
        <v/>
      </c>
      <c r="CY122" s="209" t="str">
        <f>IF($CW122&lt;&gt;"",'Group Stages'!$K128,"")</f>
        <v/>
      </c>
      <c r="CZ122" s="209" t="str">
        <f>IF($CW122&lt;&gt;"",'Group Stages'!$M128,"")</f>
        <v/>
      </c>
    </row>
    <row r="123" spans="63:104">
      <c r="BK123" s="209" t="str">
        <f>IF(AND(COUNTIF($AF$4:$AF$35,'Group Stages'!G129)&gt;0,COUNTIF($AF$4:$AF$35,'Group Stages'!M129)&gt;0,'Group Stages'!I129&lt;&gt;"",'Group Stages'!K129&lt;&gt;""),'Group Stages'!G129,"")</f>
        <v/>
      </c>
      <c r="BL123" s="209" t="str">
        <f>IF($BK123&lt;&gt;"",'Group Stages'!I129,"")</f>
        <v/>
      </c>
      <c r="BM123" s="209" t="str">
        <f>IF($BK123&lt;&gt;"",'Group Stages'!K129,"")</f>
        <v/>
      </c>
      <c r="BN123" s="209" t="str">
        <f>IF($BK123&lt;&gt;"",'Group Stages'!M129,"")</f>
        <v/>
      </c>
      <c r="CW123" s="209" t="str">
        <f>IF(AND(COUNTIF($BR$4:$BR$35,'Group Stages'!$G129)&gt;0,COUNTIF($BR$4:$BR$35,'Group Stages'!$M129)&gt;0),'Group Stages'!$G129,"")</f>
        <v/>
      </c>
      <c r="CX123" s="209" t="str">
        <f>IF($CW123&lt;&gt;"",'Group Stages'!$I129,"")</f>
        <v/>
      </c>
      <c r="CY123" s="209" t="str">
        <f>IF($CW123&lt;&gt;"",'Group Stages'!$K129,"")</f>
        <v/>
      </c>
      <c r="CZ123" s="209" t="str">
        <f>IF($CW123&lt;&gt;"",'Group Stages'!$M129,"")</f>
        <v/>
      </c>
    </row>
    <row r="124" spans="63:104">
      <c r="BK124" s="209" t="str">
        <f>IF(AND(COUNTIF($AF$4:$AF$35,'Group Stages'!G130)&gt;0,COUNTIF($AF$4:$AF$35,'Group Stages'!M130)&gt;0,'Group Stages'!I130&lt;&gt;"",'Group Stages'!K130&lt;&gt;""),'Group Stages'!G130,"")</f>
        <v/>
      </c>
      <c r="BL124" s="209" t="str">
        <f>IF($BK124&lt;&gt;"",'Group Stages'!I130,"")</f>
        <v/>
      </c>
      <c r="BM124" s="209" t="str">
        <f>IF($BK124&lt;&gt;"",'Group Stages'!K130,"")</f>
        <v/>
      </c>
      <c r="BN124" s="209" t="str">
        <f>IF($BK124&lt;&gt;"",'Group Stages'!M130,"")</f>
        <v/>
      </c>
      <c r="CW124" s="209" t="str">
        <f>IF(AND(COUNTIF($BR$4:$BR$35,'Group Stages'!$G130)&gt;0,COUNTIF($BR$4:$BR$35,'Group Stages'!$M130)&gt;0),'Group Stages'!$G130,"")</f>
        <v/>
      </c>
      <c r="CX124" s="209" t="str">
        <f>IF($CW124&lt;&gt;"",'Group Stages'!$I130,"")</f>
        <v/>
      </c>
      <c r="CY124" s="209" t="str">
        <f>IF($CW124&lt;&gt;"",'Group Stages'!$K130,"")</f>
        <v/>
      </c>
      <c r="CZ124" s="209" t="str">
        <f>IF($CW124&lt;&gt;"",'Group Stages'!$M130,"")</f>
        <v/>
      </c>
    </row>
    <row r="125" spans="63:104">
      <c r="BK125" s="209" t="str">
        <f>IF(AND(COUNTIF($AF$4:$AF$35,'Group Stages'!G131)&gt;0,COUNTIF($AF$4:$AF$35,'Group Stages'!M131)&gt;0,'Group Stages'!I131&lt;&gt;"",'Group Stages'!K131&lt;&gt;""),'Group Stages'!G131,"")</f>
        <v/>
      </c>
      <c r="BL125" s="209" t="str">
        <f>IF($BK125&lt;&gt;"",'Group Stages'!I131,"")</f>
        <v/>
      </c>
      <c r="BM125" s="209" t="str">
        <f>IF($BK125&lt;&gt;"",'Group Stages'!K131,"")</f>
        <v/>
      </c>
      <c r="BN125" s="209" t="str">
        <f>IF($BK125&lt;&gt;"",'Group Stages'!M131,"")</f>
        <v/>
      </c>
      <c r="CW125" s="209" t="str">
        <f>IF(AND(COUNTIF($BR$4:$BR$35,'Group Stages'!$G131)&gt;0,COUNTIF($BR$4:$BR$35,'Group Stages'!$M131)&gt;0),'Group Stages'!$G131,"")</f>
        <v/>
      </c>
      <c r="CX125" s="209" t="str">
        <f>IF($CW125&lt;&gt;"",'Group Stages'!$I131,"")</f>
        <v/>
      </c>
      <c r="CY125" s="209" t="str">
        <f>IF($CW125&lt;&gt;"",'Group Stages'!$K131,"")</f>
        <v/>
      </c>
      <c r="CZ125" s="209" t="str">
        <f>IF($CW125&lt;&gt;"",'Group Stages'!$M131,"")</f>
        <v/>
      </c>
    </row>
    <row r="126" spans="63:104">
      <c r="BK126" s="209" t="str">
        <f>IF(AND(COUNTIF($AF$4:$AF$35,'Group Stages'!G132)&gt;0,COUNTIF($AF$4:$AF$35,'Group Stages'!M132)&gt;0,'Group Stages'!I132&lt;&gt;"",'Group Stages'!K132&lt;&gt;""),'Group Stages'!G132,"")</f>
        <v/>
      </c>
      <c r="BL126" s="209" t="str">
        <f>IF($BK126&lt;&gt;"",'Group Stages'!I132,"")</f>
        <v/>
      </c>
      <c r="BM126" s="209" t="str">
        <f>IF($BK126&lt;&gt;"",'Group Stages'!K132,"")</f>
        <v/>
      </c>
      <c r="BN126" s="209" t="str">
        <f>IF($BK126&lt;&gt;"",'Group Stages'!M132,"")</f>
        <v/>
      </c>
      <c r="CW126" s="209" t="str">
        <f>IF(AND(COUNTIF($BR$4:$BR$35,'Group Stages'!$G132)&gt;0,COUNTIF($BR$4:$BR$35,'Group Stages'!$M132)&gt;0),'Group Stages'!$G132,"")</f>
        <v/>
      </c>
      <c r="CX126" s="209" t="str">
        <f>IF($CW126&lt;&gt;"",'Group Stages'!$I132,"")</f>
        <v/>
      </c>
      <c r="CY126" s="209" t="str">
        <f>IF($CW126&lt;&gt;"",'Group Stages'!$K132,"")</f>
        <v/>
      </c>
      <c r="CZ126" s="209" t="str">
        <f>IF($CW126&lt;&gt;"",'Group Stages'!$M132,"")</f>
        <v/>
      </c>
    </row>
    <row r="127" spans="63:104">
      <c r="BK127" s="209" t="str">
        <f>IF(AND(COUNTIF($AF$4:$AF$35,'Group Stages'!G133)&gt;0,COUNTIF($AF$4:$AF$35,'Group Stages'!M133)&gt;0,'Group Stages'!I133&lt;&gt;"",'Group Stages'!K133&lt;&gt;""),'Group Stages'!G133,"")</f>
        <v/>
      </c>
      <c r="BL127" s="209" t="str">
        <f>IF($BK127&lt;&gt;"",'Group Stages'!I133,"")</f>
        <v/>
      </c>
      <c r="BM127" s="209" t="str">
        <f>IF($BK127&lt;&gt;"",'Group Stages'!K133,"")</f>
        <v/>
      </c>
      <c r="BN127" s="209" t="str">
        <f>IF($BK127&lt;&gt;"",'Group Stages'!M133,"")</f>
        <v/>
      </c>
      <c r="CW127" s="209" t="str">
        <f>IF(AND(COUNTIF($BR$4:$BR$35,'Group Stages'!$G133)&gt;0,COUNTIF($BR$4:$BR$35,'Group Stages'!$M133)&gt;0),'Group Stages'!$G133,"")</f>
        <v/>
      </c>
      <c r="CX127" s="209" t="str">
        <f>IF($CW127&lt;&gt;"",'Group Stages'!$I133,"")</f>
        <v/>
      </c>
      <c r="CY127" s="209" t="str">
        <f>IF($CW127&lt;&gt;"",'Group Stages'!$K133,"")</f>
        <v/>
      </c>
      <c r="CZ127" s="209" t="str">
        <f>IF($CW127&lt;&gt;"",'Group Stages'!$M133,"")</f>
        <v/>
      </c>
    </row>
    <row r="128" spans="63:104">
      <c r="BK128" s="209" t="str">
        <f>IF(AND(COUNTIF($AF$4:$AF$35,'Group Stages'!G134)&gt;0,COUNTIF($AF$4:$AF$35,'Group Stages'!M134)&gt;0,'Group Stages'!I134&lt;&gt;"",'Group Stages'!K134&lt;&gt;""),'Group Stages'!G134,"")</f>
        <v/>
      </c>
      <c r="BL128" s="209" t="str">
        <f>IF($BK128&lt;&gt;"",'Group Stages'!I134,"")</f>
        <v/>
      </c>
      <c r="BM128" s="209" t="str">
        <f>IF($BK128&lt;&gt;"",'Group Stages'!K134,"")</f>
        <v/>
      </c>
      <c r="BN128" s="209" t="str">
        <f>IF($BK128&lt;&gt;"",'Group Stages'!M134,"")</f>
        <v/>
      </c>
      <c r="CW128" s="209" t="str">
        <f>IF(AND(COUNTIF($BR$4:$BR$35,'Group Stages'!$G134)&gt;0,COUNTIF($BR$4:$BR$35,'Group Stages'!$M134)&gt;0),'Group Stages'!$G134,"")</f>
        <v/>
      </c>
      <c r="CX128" s="209" t="str">
        <f>IF($CW128&lt;&gt;"",'Group Stages'!$I134,"")</f>
        <v/>
      </c>
      <c r="CY128" s="209" t="str">
        <f>IF($CW128&lt;&gt;"",'Group Stages'!$K134,"")</f>
        <v/>
      </c>
      <c r="CZ128" s="209" t="str">
        <f>IF($CW128&lt;&gt;"",'Group Stages'!$M134,"")</f>
        <v/>
      </c>
    </row>
    <row r="129" spans="63:104">
      <c r="BK129" s="209" t="str">
        <f>IF(AND(COUNTIF($AF$4:$AF$35,'Group Stages'!G135)&gt;0,COUNTIF($AF$4:$AF$35,'Group Stages'!M135)&gt;0,'Group Stages'!I135&lt;&gt;"",'Group Stages'!K135&lt;&gt;""),'Group Stages'!G135,"")</f>
        <v/>
      </c>
      <c r="BL129" s="209" t="str">
        <f>IF($BK129&lt;&gt;"",'Group Stages'!I135,"")</f>
        <v/>
      </c>
      <c r="BM129" s="209" t="str">
        <f>IF($BK129&lt;&gt;"",'Group Stages'!K135,"")</f>
        <v/>
      </c>
      <c r="BN129" s="209" t="str">
        <f>IF($BK129&lt;&gt;"",'Group Stages'!M135,"")</f>
        <v/>
      </c>
      <c r="CW129" s="209" t="str">
        <f>IF(AND(COUNTIF($BR$4:$BR$35,'Group Stages'!$G135)&gt;0,COUNTIF($BR$4:$BR$35,'Group Stages'!$M135)&gt;0),'Group Stages'!$G135,"")</f>
        <v/>
      </c>
      <c r="CX129" s="209" t="str">
        <f>IF($CW129&lt;&gt;"",'Group Stages'!$I135,"")</f>
        <v/>
      </c>
      <c r="CY129" s="209" t="str">
        <f>IF($CW129&lt;&gt;"",'Group Stages'!$K135,"")</f>
        <v/>
      </c>
      <c r="CZ129" s="209" t="str">
        <f>IF($CW129&lt;&gt;"",'Group Stages'!$M135,"")</f>
        <v/>
      </c>
    </row>
    <row r="130" spans="63:104">
      <c r="BK130" s="209" t="str">
        <f>IF(AND(COUNTIF($AF$4:$AF$35,'Group Stages'!G136)&gt;0,COUNTIF($AF$4:$AF$35,'Group Stages'!M136)&gt;0,'Group Stages'!I136&lt;&gt;"",'Group Stages'!K136&lt;&gt;""),'Group Stages'!G136,"")</f>
        <v/>
      </c>
      <c r="BL130" s="209" t="str">
        <f>IF($BK130&lt;&gt;"",'Group Stages'!I136,"")</f>
        <v/>
      </c>
      <c r="BM130" s="209" t="str">
        <f>IF($BK130&lt;&gt;"",'Group Stages'!K136,"")</f>
        <v/>
      </c>
      <c r="BN130" s="209" t="str">
        <f>IF($BK130&lt;&gt;"",'Group Stages'!M136,"")</f>
        <v/>
      </c>
      <c r="CW130" s="209" t="str">
        <f>IF(AND(COUNTIF($BR$4:$BR$35,'Group Stages'!$G136)&gt;0,COUNTIF($BR$4:$BR$35,'Group Stages'!$M136)&gt;0),'Group Stages'!$G136,"")</f>
        <v/>
      </c>
      <c r="CX130" s="209" t="str">
        <f>IF($CW130&lt;&gt;"",'Group Stages'!$I136,"")</f>
        <v/>
      </c>
      <c r="CY130" s="209" t="str">
        <f>IF($CW130&lt;&gt;"",'Group Stages'!$K136,"")</f>
        <v/>
      </c>
      <c r="CZ130" s="209" t="str">
        <f>IF($CW130&lt;&gt;"",'Group Stages'!$M136,"")</f>
        <v/>
      </c>
    </row>
    <row r="131" spans="63:104">
      <c r="BK131" s="209" t="str">
        <f>IF(AND(COUNTIF($AF$4:$AF$35,'Group Stages'!G137)&gt;0,COUNTIF($AF$4:$AF$35,'Group Stages'!M137)&gt;0,'Group Stages'!I137&lt;&gt;"",'Group Stages'!K137&lt;&gt;""),'Group Stages'!G137,"")</f>
        <v/>
      </c>
      <c r="BL131" s="209" t="str">
        <f>IF($BK131&lt;&gt;"",'Group Stages'!I137,"")</f>
        <v/>
      </c>
      <c r="BM131" s="209" t="str">
        <f>IF($BK131&lt;&gt;"",'Group Stages'!K137,"")</f>
        <v/>
      </c>
      <c r="BN131" s="209" t="str">
        <f>IF($BK131&lt;&gt;"",'Group Stages'!M137,"")</f>
        <v/>
      </c>
      <c r="CW131" s="209" t="str">
        <f>IF(AND(COUNTIF($BR$4:$BR$35,'Group Stages'!$G137)&gt;0,COUNTIF($BR$4:$BR$35,'Group Stages'!$M137)&gt;0),'Group Stages'!$G137,"")</f>
        <v/>
      </c>
      <c r="CX131" s="209" t="str">
        <f>IF($CW131&lt;&gt;"",'Group Stages'!$I137,"")</f>
        <v/>
      </c>
      <c r="CY131" s="209" t="str">
        <f>IF($CW131&lt;&gt;"",'Group Stages'!$K137,"")</f>
        <v/>
      </c>
      <c r="CZ131" s="209" t="str">
        <f>IF($CW131&lt;&gt;"",'Group Stages'!$M137,"")</f>
        <v/>
      </c>
    </row>
    <row r="132" spans="63:104">
      <c r="BK132" s="209" t="str">
        <f>IF(AND(COUNTIF($AF$4:$AF$35,'Group Stages'!G138)&gt;0,COUNTIF($AF$4:$AF$35,'Group Stages'!M138)&gt;0,'Group Stages'!I138&lt;&gt;"",'Group Stages'!K138&lt;&gt;""),'Group Stages'!G138,"")</f>
        <v/>
      </c>
      <c r="BL132" s="209" t="str">
        <f>IF($BK132&lt;&gt;"",'Group Stages'!I138,"")</f>
        <v/>
      </c>
      <c r="BM132" s="209" t="str">
        <f>IF($BK132&lt;&gt;"",'Group Stages'!K138,"")</f>
        <v/>
      </c>
      <c r="BN132" s="209" t="str">
        <f>IF($BK132&lt;&gt;"",'Group Stages'!M138,"")</f>
        <v/>
      </c>
      <c r="CW132" s="209" t="str">
        <f>IF(AND(COUNTIF($BR$4:$BR$35,'Group Stages'!$G138)&gt;0,COUNTIF($BR$4:$BR$35,'Group Stages'!$M138)&gt;0),'Group Stages'!$G138,"")</f>
        <v/>
      </c>
      <c r="CX132" s="209" t="str">
        <f>IF($CW132&lt;&gt;"",'Group Stages'!$I138,"")</f>
        <v/>
      </c>
      <c r="CY132" s="209" t="str">
        <f>IF($CW132&lt;&gt;"",'Group Stages'!$K138,"")</f>
        <v/>
      </c>
      <c r="CZ132" s="209" t="str">
        <f>IF($CW132&lt;&gt;"",'Group Stages'!$M138,"")</f>
        <v/>
      </c>
    </row>
    <row r="133" spans="63:104">
      <c r="BK133" s="209" t="str">
        <f>IF(AND(COUNTIF($AF$4:$AF$35,'Group Stages'!G139)&gt;0,COUNTIF($AF$4:$AF$35,'Group Stages'!M139)&gt;0,'Group Stages'!I139&lt;&gt;"",'Group Stages'!K139&lt;&gt;""),'Group Stages'!G139,"")</f>
        <v/>
      </c>
      <c r="BL133" s="209" t="str">
        <f>IF($BK133&lt;&gt;"",'Group Stages'!I139,"")</f>
        <v/>
      </c>
      <c r="BM133" s="209" t="str">
        <f>IF($BK133&lt;&gt;"",'Group Stages'!K139,"")</f>
        <v/>
      </c>
      <c r="BN133" s="209" t="str">
        <f>IF($BK133&lt;&gt;"",'Group Stages'!M139,"")</f>
        <v/>
      </c>
      <c r="CW133" s="209" t="str">
        <f>IF(AND(COUNTIF($BR$4:$BR$35,'Group Stages'!$G139)&gt;0,COUNTIF($BR$4:$BR$35,'Group Stages'!$M139)&gt;0),'Group Stages'!$G139,"")</f>
        <v/>
      </c>
      <c r="CX133" s="209" t="str">
        <f>IF($CW133&lt;&gt;"",'Group Stages'!$I139,"")</f>
        <v/>
      </c>
      <c r="CY133" s="209" t="str">
        <f>IF($CW133&lt;&gt;"",'Group Stages'!$K139,"")</f>
        <v/>
      </c>
      <c r="CZ133" s="209" t="str">
        <f>IF($CW133&lt;&gt;"",'Group Stages'!$M139,"")</f>
        <v/>
      </c>
    </row>
    <row r="134" spans="63:104">
      <c r="BK134" s="209" t="str">
        <f>IF(AND(COUNTIF($AF$4:$AF$35,'Group Stages'!G140)&gt;0,COUNTIF($AF$4:$AF$35,'Group Stages'!M140)&gt;0,'Group Stages'!I140&lt;&gt;"",'Group Stages'!K140&lt;&gt;""),'Group Stages'!G140,"")</f>
        <v/>
      </c>
      <c r="BL134" s="209" t="str">
        <f>IF($BK134&lt;&gt;"",'Group Stages'!I140,"")</f>
        <v/>
      </c>
      <c r="BM134" s="209" t="str">
        <f>IF($BK134&lt;&gt;"",'Group Stages'!K140,"")</f>
        <v/>
      </c>
      <c r="BN134" s="209" t="str">
        <f>IF($BK134&lt;&gt;"",'Group Stages'!M140,"")</f>
        <v/>
      </c>
      <c r="CW134" s="209" t="str">
        <f>IF(AND(COUNTIF($BR$4:$BR$35,'Group Stages'!$G140)&gt;0,COUNTIF($BR$4:$BR$35,'Group Stages'!$M140)&gt;0),'Group Stages'!$G140,"")</f>
        <v/>
      </c>
      <c r="CX134" s="209" t="str">
        <f>IF($CW134&lt;&gt;"",'Group Stages'!$I140,"")</f>
        <v/>
      </c>
      <c r="CY134" s="209" t="str">
        <f>IF($CW134&lt;&gt;"",'Group Stages'!$K140,"")</f>
        <v/>
      </c>
      <c r="CZ134" s="209" t="str">
        <f>IF($CW134&lt;&gt;"",'Group Stages'!$M140,"")</f>
        <v/>
      </c>
    </row>
    <row r="135" spans="63:104">
      <c r="BK135" s="209" t="str">
        <f>IF(AND(COUNTIF($AF$4:$AF$35,'Group Stages'!G141)&gt;0,COUNTIF($AF$4:$AF$35,'Group Stages'!M141)&gt;0,'Group Stages'!I141&lt;&gt;"",'Group Stages'!K141&lt;&gt;""),'Group Stages'!G141,"")</f>
        <v/>
      </c>
      <c r="BL135" s="209" t="str">
        <f>IF($BK135&lt;&gt;"",'Group Stages'!I141,"")</f>
        <v/>
      </c>
      <c r="BM135" s="209" t="str">
        <f>IF($BK135&lt;&gt;"",'Group Stages'!K141,"")</f>
        <v/>
      </c>
      <c r="BN135" s="209" t="str">
        <f>IF($BK135&lt;&gt;"",'Group Stages'!M141,"")</f>
        <v/>
      </c>
      <c r="CW135" s="209" t="str">
        <f>IF(AND(COUNTIF($BR$4:$BR$35,'Group Stages'!$G141)&gt;0,COUNTIF($BR$4:$BR$35,'Group Stages'!$M141)&gt;0),'Group Stages'!$G141,"")</f>
        <v/>
      </c>
      <c r="CX135" s="209" t="str">
        <f>IF($CW135&lt;&gt;"",'Group Stages'!$I141,"")</f>
        <v/>
      </c>
      <c r="CY135" s="209" t="str">
        <f>IF($CW135&lt;&gt;"",'Group Stages'!$K141,"")</f>
        <v/>
      </c>
      <c r="CZ135" s="209" t="str">
        <f>IF($CW135&lt;&gt;"",'Group Stages'!$M141,"")</f>
        <v/>
      </c>
    </row>
    <row r="136" spans="63:104">
      <c r="BK136" s="209" t="str">
        <f>IF(AND(COUNTIF($AF$4:$AF$35,'Group Stages'!G142)&gt;0,COUNTIF($AF$4:$AF$35,'Group Stages'!M142)&gt;0,'Group Stages'!I142&lt;&gt;"",'Group Stages'!K142&lt;&gt;""),'Group Stages'!G142,"")</f>
        <v/>
      </c>
      <c r="BL136" s="209" t="str">
        <f>IF($BK136&lt;&gt;"",'Group Stages'!I142,"")</f>
        <v/>
      </c>
      <c r="BM136" s="209" t="str">
        <f>IF($BK136&lt;&gt;"",'Group Stages'!K142,"")</f>
        <v/>
      </c>
      <c r="BN136" s="209" t="str">
        <f>IF($BK136&lt;&gt;"",'Group Stages'!M142,"")</f>
        <v/>
      </c>
      <c r="CW136" s="209" t="str">
        <f>IF(AND(COUNTIF($BR$4:$BR$35,'Group Stages'!$G142)&gt;0,COUNTIF($BR$4:$BR$35,'Group Stages'!$M142)&gt;0),'Group Stages'!$G142,"")</f>
        <v/>
      </c>
      <c r="CX136" s="209" t="str">
        <f>IF($CW136&lt;&gt;"",'Group Stages'!$I142,"")</f>
        <v/>
      </c>
      <c r="CY136" s="209" t="str">
        <f>IF($CW136&lt;&gt;"",'Group Stages'!$K142,"")</f>
        <v/>
      </c>
      <c r="CZ136" s="209" t="str">
        <f>IF($CW136&lt;&gt;"",'Group Stages'!$M142,"")</f>
        <v/>
      </c>
    </row>
    <row r="137" spans="63:104">
      <c r="BK137" s="209" t="str">
        <f>IF(AND(COUNTIF($AF$4:$AF$35,'Group Stages'!G143)&gt;0,COUNTIF($AF$4:$AF$35,'Group Stages'!M143)&gt;0,'Group Stages'!I143&lt;&gt;"",'Group Stages'!K143&lt;&gt;""),'Group Stages'!G143,"")</f>
        <v/>
      </c>
      <c r="BL137" s="209" t="str">
        <f>IF($BK137&lt;&gt;"",'Group Stages'!I143,"")</f>
        <v/>
      </c>
      <c r="BM137" s="209" t="str">
        <f>IF($BK137&lt;&gt;"",'Group Stages'!K143,"")</f>
        <v/>
      </c>
      <c r="BN137" s="209" t="str">
        <f>IF($BK137&lt;&gt;"",'Group Stages'!M143,"")</f>
        <v/>
      </c>
      <c r="CW137" s="209" t="str">
        <f>IF(AND(COUNTIF($BR$4:$BR$35,'Group Stages'!$G143)&gt;0,COUNTIF($BR$4:$BR$35,'Group Stages'!$M143)&gt;0),'Group Stages'!$G143,"")</f>
        <v>FC Porto</v>
      </c>
      <c r="CX137" s="209">
        <f>IF($CW137&lt;&gt;"",'Group Stages'!$I143,"")</f>
        <v>0</v>
      </c>
      <c r="CY137" s="209">
        <f>IF($CW137&lt;&gt;"",'Group Stages'!$K143,"")</f>
        <v>0</v>
      </c>
      <c r="CZ137" s="209" t="str">
        <f>IF($CW137&lt;&gt;"",'Group Stages'!$M143,"")</f>
        <v>Feyenoord</v>
      </c>
    </row>
    <row r="138" spans="63:104">
      <c r="BK138" s="209" t="str">
        <f>IF(AND(COUNTIF($AF$4:$AF$35,'Group Stages'!G144)&gt;0,COUNTIF($AF$4:$AF$35,'Group Stages'!M144)&gt;0,'Group Stages'!I144&lt;&gt;"",'Group Stages'!K144&lt;&gt;""),'Group Stages'!G144,"")</f>
        <v/>
      </c>
      <c r="BL138" s="209" t="str">
        <f>IF($BK138&lt;&gt;"",'Group Stages'!I144,"")</f>
        <v/>
      </c>
      <c r="BM138" s="209" t="str">
        <f>IF($BK138&lt;&gt;"",'Group Stages'!K144,"")</f>
        <v/>
      </c>
      <c r="BN138" s="209" t="str">
        <f>IF($BK138&lt;&gt;"",'Group Stages'!M144,"")</f>
        <v/>
      </c>
      <c r="CW138" s="209" t="str">
        <f>IF(AND(COUNTIF($BR$4:$BR$35,'Group Stages'!$G144)&gt;0,COUNTIF($BR$4:$BR$35,'Group Stages'!$M144)&gt;0),'Group Stages'!$G144,"")</f>
        <v/>
      </c>
      <c r="CX138" s="209" t="str">
        <f>IF($CW138&lt;&gt;"",'Group Stages'!$I144,"")</f>
        <v/>
      </c>
      <c r="CY138" s="209" t="str">
        <f>IF($CW138&lt;&gt;"",'Group Stages'!$K144,"")</f>
        <v/>
      </c>
      <c r="CZ138" s="209" t="str">
        <f>IF($CW138&lt;&gt;"",'Group Stages'!$M144,"")</f>
        <v/>
      </c>
    </row>
    <row r="139" spans="63:104">
      <c r="BK139" s="209" t="str">
        <f>IF(AND(COUNTIF($AF$4:$AF$35,'Group Stages'!G145)&gt;0,COUNTIF($AF$4:$AF$35,'Group Stages'!M145)&gt;0,'Group Stages'!I145&lt;&gt;"",'Group Stages'!K145&lt;&gt;""),'Group Stages'!G145,"")</f>
        <v/>
      </c>
      <c r="BL139" s="209" t="str">
        <f>IF($BK139&lt;&gt;"",'Group Stages'!I145,"")</f>
        <v/>
      </c>
      <c r="BM139" s="209" t="str">
        <f>IF($BK139&lt;&gt;"",'Group Stages'!K145,"")</f>
        <v/>
      </c>
      <c r="BN139" s="209" t="str">
        <f>IF($BK139&lt;&gt;"",'Group Stages'!M145,"")</f>
        <v/>
      </c>
      <c r="CW139" s="209" t="str">
        <f>IF(AND(COUNTIF($BR$4:$BR$35,'Group Stages'!$G145)&gt;0,COUNTIF($BR$4:$BR$35,'Group Stages'!$M145)&gt;0),'Group Stages'!$G145,"")</f>
        <v/>
      </c>
      <c r="CX139" s="209" t="str">
        <f>IF($CW139&lt;&gt;"",'Group Stages'!$I145,"")</f>
        <v/>
      </c>
      <c r="CY139" s="209" t="str">
        <f>IF($CW139&lt;&gt;"",'Group Stages'!$K145,"")</f>
        <v/>
      </c>
      <c r="CZ139" s="209" t="str">
        <f>IF($CW139&lt;&gt;"",'Group Stages'!$M145,"")</f>
        <v/>
      </c>
    </row>
    <row r="140" spans="63:104">
      <c r="BK140" s="209" t="str">
        <f>IF(AND(COUNTIF($AF$4:$AF$35,'Group Stages'!G146)&gt;0,COUNTIF($AF$4:$AF$35,'Group Stages'!M146)&gt;0,'Group Stages'!I146&lt;&gt;"",'Group Stages'!K146&lt;&gt;""),'Group Stages'!G146,"")</f>
        <v/>
      </c>
      <c r="BL140" s="209" t="str">
        <f>IF($BK140&lt;&gt;"",'Group Stages'!I146,"")</f>
        <v/>
      </c>
      <c r="BM140" s="209" t="str">
        <f>IF($BK140&lt;&gt;"",'Group Stages'!K146,"")</f>
        <v/>
      </c>
      <c r="BN140" s="209" t="str">
        <f>IF($BK140&lt;&gt;"",'Group Stages'!M146,"")</f>
        <v/>
      </c>
      <c r="CW140" s="209" t="str">
        <f>IF(AND(COUNTIF($BR$4:$BR$35,'Group Stages'!$G146)&gt;0,COUNTIF($BR$4:$BR$35,'Group Stages'!$M146)&gt;0),'Group Stages'!$G146,"")</f>
        <v/>
      </c>
      <c r="CX140" s="209" t="str">
        <f>IF($CW140&lt;&gt;"",'Group Stages'!$I146,"")</f>
        <v/>
      </c>
      <c r="CY140" s="209" t="str">
        <f>IF($CW140&lt;&gt;"",'Group Stages'!$K146,"")</f>
        <v/>
      </c>
      <c r="CZ140" s="209" t="str">
        <f>IF($CW140&lt;&gt;"",'Group Stages'!$M146,"")</f>
        <v/>
      </c>
    </row>
    <row r="141" spans="63:104">
      <c r="BK141" s="209" t="str">
        <f>IF(AND(COUNTIF($AF$4:$AF$35,'Group Stages'!G147)&gt;0,COUNTIF($AF$4:$AF$35,'Group Stages'!M147)&gt;0,'Group Stages'!I147&lt;&gt;"",'Group Stages'!K147&lt;&gt;""),'Group Stages'!G147,"")</f>
        <v/>
      </c>
      <c r="BL141" s="209" t="str">
        <f>IF($BK141&lt;&gt;"",'Group Stages'!I147,"")</f>
        <v/>
      </c>
      <c r="BM141" s="209" t="str">
        <f>IF($BK141&lt;&gt;"",'Group Stages'!K147,"")</f>
        <v/>
      </c>
      <c r="BN141" s="209" t="str">
        <f>IF($BK141&lt;&gt;"",'Group Stages'!M147,"")</f>
        <v/>
      </c>
      <c r="CW141" s="209" t="str">
        <f>IF(AND(COUNTIF($BR$4:$BR$35,'Group Stages'!$G147)&gt;0,COUNTIF($BR$4:$BR$35,'Group Stages'!$M147)&gt;0),'Group Stages'!$G147,"")</f>
        <v/>
      </c>
      <c r="CX141" s="209" t="str">
        <f>IF($CW141&lt;&gt;"",'Group Stages'!$I147,"")</f>
        <v/>
      </c>
      <c r="CY141" s="209" t="str">
        <f>IF($CW141&lt;&gt;"",'Group Stages'!$K147,"")</f>
        <v/>
      </c>
      <c r="CZ141" s="209" t="str">
        <f>IF($CW141&lt;&gt;"",'Group Stages'!$M147,"")</f>
        <v/>
      </c>
    </row>
    <row r="142" spans="63:104">
      <c r="BK142" s="209" t="str">
        <f>IF(AND(COUNTIF($AF$4:$AF$35,'Group Stages'!G148)&gt;0,COUNTIF($AF$4:$AF$35,'Group Stages'!M148)&gt;0,'Group Stages'!I148&lt;&gt;"",'Group Stages'!K148&lt;&gt;""),'Group Stages'!G148,"")</f>
        <v/>
      </c>
      <c r="BL142" s="209" t="str">
        <f>IF($BK142&lt;&gt;"",'Group Stages'!I148,"")</f>
        <v/>
      </c>
      <c r="BM142" s="209" t="str">
        <f>IF($BK142&lt;&gt;"",'Group Stages'!K148,"")</f>
        <v/>
      </c>
      <c r="BN142" s="209" t="str">
        <f>IF($BK142&lt;&gt;"",'Group Stages'!M148,"")</f>
        <v/>
      </c>
      <c r="CW142" s="209" t="str">
        <f>IF(AND(COUNTIF($BR$4:$BR$35,'Group Stages'!$G148)&gt;0,COUNTIF($BR$4:$BR$35,'Group Stages'!$M148)&gt;0),'Group Stages'!$G148,"")</f>
        <v/>
      </c>
      <c r="CX142" s="209" t="str">
        <f>IF($CW142&lt;&gt;"",'Group Stages'!$I148,"")</f>
        <v/>
      </c>
      <c r="CY142" s="209" t="str">
        <f>IF($CW142&lt;&gt;"",'Group Stages'!$K148,"")</f>
        <v/>
      </c>
      <c r="CZ142" s="209" t="str">
        <f>IF($CW142&lt;&gt;"",'Group Stages'!$M148,"")</f>
        <v/>
      </c>
    </row>
    <row r="143" spans="63:104">
      <c r="BK143" s="209" t="str">
        <f>IF(AND(COUNTIF($AF$4:$AF$35,'Group Stages'!G149)&gt;0,COUNTIF($AF$4:$AF$35,'Group Stages'!M149)&gt;0,'Group Stages'!I149&lt;&gt;"",'Group Stages'!K149&lt;&gt;""),'Group Stages'!G149,"")</f>
        <v/>
      </c>
      <c r="BL143" s="209" t="str">
        <f>IF($BK143&lt;&gt;"",'Group Stages'!I149,"")</f>
        <v/>
      </c>
      <c r="BM143" s="209" t="str">
        <f>IF($BK143&lt;&gt;"",'Group Stages'!K149,"")</f>
        <v/>
      </c>
      <c r="BN143" s="209" t="str">
        <f>IF($BK143&lt;&gt;"",'Group Stages'!M149,"")</f>
        <v/>
      </c>
      <c r="CW143" s="209" t="str">
        <f>IF(AND(COUNTIF($BR$4:$BR$35,'Group Stages'!$G149)&gt;0,COUNTIF($BR$4:$BR$35,'Group Stages'!$M149)&gt;0),'Group Stages'!$G149,"")</f>
        <v/>
      </c>
      <c r="CX143" s="209" t="str">
        <f>IF($CW143&lt;&gt;"",'Group Stages'!$I149,"")</f>
        <v/>
      </c>
      <c r="CY143" s="209" t="str">
        <f>IF($CW143&lt;&gt;"",'Group Stages'!$K149,"")</f>
        <v/>
      </c>
      <c r="CZ143" s="209" t="str">
        <f>IF($CW143&lt;&gt;"",'Group Stages'!$M149,"")</f>
        <v/>
      </c>
    </row>
    <row r="144" spans="63:104">
      <c r="BK144" s="209" t="str">
        <f>IF(AND(COUNTIF($AF$4:$AF$35,'Group Stages'!G150)&gt;0,COUNTIF($AF$4:$AF$35,'Group Stages'!M150)&gt;0,'Group Stages'!I150&lt;&gt;"",'Group Stages'!K150&lt;&gt;""),'Group Stages'!G150,"")</f>
        <v/>
      </c>
      <c r="BL144" s="209" t="str">
        <f>IF($BK144&lt;&gt;"",'Group Stages'!I150,"")</f>
        <v/>
      </c>
      <c r="BM144" s="209" t="str">
        <f>IF($BK144&lt;&gt;"",'Group Stages'!K150,"")</f>
        <v/>
      </c>
      <c r="BN144" s="209" t="str">
        <f>IF($BK144&lt;&gt;"",'Group Stages'!M150,"")</f>
        <v/>
      </c>
      <c r="CW144" s="209" t="str">
        <f>IF(AND(COUNTIF($BR$4:$BR$35,'Group Stages'!$G150)&gt;0,COUNTIF($BR$4:$BR$35,'Group Stages'!$M150)&gt;0),'Group Stages'!$G150,"")</f>
        <v/>
      </c>
      <c r="CX144" s="209" t="str">
        <f>IF($CW144&lt;&gt;"",'Group Stages'!$I150,"")</f>
        <v/>
      </c>
      <c r="CY144" s="209" t="str">
        <f>IF($CW144&lt;&gt;"",'Group Stages'!$K150,"")</f>
        <v/>
      </c>
      <c r="CZ144" s="209" t="str">
        <f>IF($CW144&lt;&gt;"",'Group Stages'!$M150,"")</f>
        <v/>
      </c>
    </row>
    <row r="145" spans="63:104">
      <c r="BK145" s="209" t="str">
        <f>IF(AND(COUNTIF($AF$4:$AF$35,'Group Stages'!G151)&gt;0,COUNTIF($AF$4:$AF$35,'Group Stages'!M151)&gt;0,'Group Stages'!I151&lt;&gt;"",'Group Stages'!K151&lt;&gt;""),'Group Stages'!G151,"")</f>
        <v/>
      </c>
      <c r="BL145" s="209" t="str">
        <f>IF($BK145&lt;&gt;"",'Group Stages'!I151,"")</f>
        <v/>
      </c>
      <c r="BM145" s="209" t="str">
        <f>IF($BK145&lt;&gt;"",'Group Stages'!K151,"")</f>
        <v/>
      </c>
      <c r="BN145" s="209" t="str">
        <f>IF($BK145&lt;&gt;"",'Group Stages'!M151,"")</f>
        <v/>
      </c>
      <c r="CW145" s="209" t="str">
        <f>IF(AND(COUNTIF($BR$4:$BR$35,'Group Stages'!$G151)&gt;0,COUNTIF($BR$4:$BR$35,'Group Stages'!$M151)&gt;0),'Group Stages'!$G151,"")</f>
        <v/>
      </c>
      <c r="CX145" s="209" t="str">
        <f>IF($CW145&lt;&gt;"",'Group Stages'!$I151,"")</f>
        <v/>
      </c>
      <c r="CY145" s="209" t="str">
        <f>IF($CW145&lt;&gt;"",'Group Stages'!$K151,"")</f>
        <v/>
      </c>
      <c r="CZ145" s="209" t="str">
        <f>IF($CW145&lt;&gt;"",'Group Stages'!$M151,"")</f>
        <v/>
      </c>
    </row>
    <row r="146" spans="63:104">
      <c r="BK146" s="209" t="str">
        <f>IF(AND(COUNTIF($AF$4:$AF$35,'Group Stages'!G152)&gt;0,COUNTIF($AF$4:$AF$35,'Group Stages'!M152)&gt;0,'Group Stages'!I152&lt;&gt;"",'Group Stages'!K152&lt;&gt;""),'Group Stages'!G152,"")</f>
        <v/>
      </c>
      <c r="BL146" s="209" t="str">
        <f>IF($BK146&lt;&gt;"",'Group Stages'!I152,"")</f>
        <v/>
      </c>
      <c r="BM146" s="209" t="str">
        <f>IF($BK146&lt;&gt;"",'Group Stages'!K152,"")</f>
        <v/>
      </c>
      <c r="BN146" s="209" t="str">
        <f>IF($BK146&lt;&gt;"",'Group Stages'!M152,"")</f>
        <v/>
      </c>
      <c r="CW146" s="209" t="str">
        <f>IF(AND(COUNTIF($BR$4:$BR$35,'Group Stages'!$G152)&gt;0,COUNTIF($BR$4:$BR$35,'Group Stages'!$M152)&gt;0),'Group Stages'!$G152,"")</f>
        <v/>
      </c>
      <c r="CX146" s="209" t="str">
        <f>IF($CW146&lt;&gt;"",'Group Stages'!$I152,"")</f>
        <v/>
      </c>
      <c r="CY146" s="209" t="str">
        <f>IF($CW146&lt;&gt;"",'Group Stages'!$K152,"")</f>
        <v/>
      </c>
      <c r="CZ146" s="209" t="str">
        <f>IF($CW146&lt;&gt;"",'Group Stages'!$M152,"")</f>
        <v/>
      </c>
    </row>
    <row r="147" spans="63:104">
      <c r="BK147" s="209" t="str">
        <f>IF(AND(COUNTIF($AF$4:$AF$35,'Group Stages'!G153)&gt;0,COUNTIF($AF$4:$AF$35,'Group Stages'!M153)&gt;0,'Group Stages'!I153&lt;&gt;"",'Group Stages'!K153&lt;&gt;""),'Group Stages'!G153,"")</f>
        <v/>
      </c>
      <c r="BL147" s="209" t="str">
        <f>IF($BK147&lt;&gt;"",'Group Stages'!I153,"")</f>
        <v/>
      </c>
      <c r="BM147" s="209" t="str">
        <f>IF($BK147&lt;&gt;"",'Group Stages'!K153,"")</f>
        <v/>
      </c>
      <c r="BN147" s="209" t="str">
        <f>IF($BK147&lt;&gt;"",'Group Stages'!M153,"")</f>
        <v/>
      </c>
      <c r="CW147" s="209" t="str">
        <f>IF(AND(COUNTIF($BR$4:$BR$35,'Group Stages'!$G153)&gt;0,COUNTIF($BR$4:$BR$35,'Group Stages'!$M153)&gt;0),'Group Stages'!$G153,"")</f>
        <v/>
      </c>
      <c r="CX147" s="209" t="str">
        <f>IF($CW147&lt;&gt;"",'Group Stages'!$I153,"")</f>
        <v/>
      </c>
      <c r="CY147" s="209" t="str">
        <f>IF($CW147&lt;&gt;"",'Group Stages'!$K153,"")</f>
        <v/>
      </c>
      <c r="CZ147" s="209" t="str">
        <f>IF($CW147&lt;&gt;"",'Group Stages'!$M153,"")</f>
        <v/>
      </c>
    </row>
  </sheetData>
  <sheetProtection selectLockedCells="1"/>
  <phoneticPr fontId="1" type="noConversion"/>
  <pageMargins left="0.75" right="0.75" top="1" bottom="1" header="0.5" footer="0.5"/>
  <pageSetup paperSize="9" orientation="portrait" horizontalDpi="300" verticalDpi="300"/>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41"/>
  <sheetViews>
    <sheetView zoomScale="80" zoomScaleNormal="80" zoomScalePageLayoutView="80" workbookViewId="0">
      <selection sqref="A1:XFD1048576"/>
    </sheetView>
  </sheetViews>
  <sheetFormatPr baseColWidth="10" defaultColWidth="11.1640625" defaultRowHeight="15.5" customHeight="1" x14ac:dyDescent="0"/>
  <cols>
    <col min="1" max="1" width="11.1640625" customWidth="1"/>
  </cols>
  <sheetData>
    <row r="4" spans="1:1" s="255" customFormat="1" ht="25">
      <c r="A4" s="254"/>
    </row>
    <row r="5" spans="1:1" s="255" customFormat="1" ht="25">
      <c r="A5" s="256"/>
    </row>
    <row r="40" spans="1:15" s="255" customFormat="1" ht="25">
      <c r="A40" s="257" t="s">
        <v>443</v>
      </c>
      <c r="B40" s="257"/>
      <c r="C40" s="257"/>
      <c r="D40" s="257"/>
      <c r="E40" s="257"/>
      <c r="F40" s="257"/>
      <c r="G40" s="257"/>
      <c r="H40" s="257"/>
      <c r="I40" s="257"/>
      <c r="J40" s="257"/>
      <c r="K40" s="257"/>
      <c r="L40" s="257"/>
      <c r="M40" s="258"/>
      <c r="N40" s="258"/>
      <c r="O40" s="258"/>
    </row>
    <row r="41" spans="1:15" s="255" customFormat="1" ht="25">
      <c r="A41" s="259" t="s">
        <v>444</v>
      </c>
      <c r="B41" s="259"/>
      <c r="C41" s="259"/>
      <c r="D41" s="259"/>
      <c r="E41" s="259"/>
      <c r="F41" s="259"/>
      <c r="G41" s="259"/>
      <c r="H41" s="259"/>
      <c r="I41" s="259"/>
      <c r="J41" s="259"/>
      <c r="K41" s="259"/>
      <c r="L41" s="259"/>
      <c r="M41" s="260"/>
      <c r="N41" s="260"/>
      <c r="O41" s="260"/>
    </row>
  </sheetData>
  <mergeCells count="2">
    <mergeCell ref="A40:L40"/>
    <mergeCell ref="A41:L41"/>
  </mergeCells>
  <hyperlinks>
    <hyperlink ref="A41" r:id="rId1" display="https://exceltemplate.net/support/ "/>
    <hyperlink ref="A41:L41" r:id="rId2" display="https://exceltemplate.net/support/"/>
  </hyperlinks>
  <pageMargins left="0.7" right="0.7" top="0.75" bottom="0.75" header="0.3" footer="0.3"/>
  <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41"/>
  <sheetViews>
    <sheetView zoomScale="80" zoomScaleNormal="80" zoomScalePageLayoutView="80" workbookViewId="0">
      <selection sqref="A1:XFD1048576"/>
    </sheetView>
  </sheetViews>
  <sheetFormatPr baseColWidth="10" defaultColWidth="11.1640625" defaultRowHeight="15.5" customHeight="1" x14ac:dyDescent="0"/>
  <cols>
    <col min="1" max="1" width="11.1640625" customWidth="1"/>
  </cols>
  <sheetData>
    <row r="4" spans="1:1" s="255" customFormat="1" ht="25">
      <c r="A4" s="254"/>
    </row>
    <row r="5" spans="1:1" s="255" customFormat="1" ht="25">
      <c r="A5" s="256"/>
    </row>
    <row r="40" spans="1:15" s="255" customFormat="1" ht="25">
      <c r="A40" s="257" t="s">
        <v>443</v>
      </c>
      <c r="B40" s="257"/>
      <c r="C40" s="257"/>
      <c r="D40" s="257"/>
      <c r="E40" s="257"/>
      <c r="F40" s="257"/>
      <c r="G40" s="257"/>
      <c r="H40" s="257"/>
      <c r="I40" s="257"/>
      <c r="J40" s="257"/>
      <c r="K40" s="257"/>
      <c r="L40" s="257"/>
      <c r="M40" s="258"/>
      <c r="N40" s="258"/>
      <c r="O40" s="258"/>
    </row>
    <row r="41" spans="1:15" s="255" customFormat="1" ht="25">
      <c r="A41" s="259" t="s">
        <v>444</v>
      </c>
      <c r="B41" s="259"/>
      <c r="C41" s="259"/>
      <c r="D41" s="259"/>
      <c r="E41" s="259"/>
      <c r="F41" s="259"/>
      <c r="G41" s="259"/>
      <c r="H41" s="259"/>
      <c r="I41" s="259"/>
      <c r="J41" s="259"/>
      <c r="K41" s="259"/>
      <c r="L41" s="259"/>
      <c r="M41" s="260"/>
      <c r="N41" s="260"/>
      <c r="O41" s="260"/>
    </row>
  </sheetData>
  <mergeCells count="2">
    <mergeCell ref="A40:L40"/>
    <mergeCell ref="A41:L41"/>
  </mergeCells>
  <hyperlinks>
    <hyperlink ref="A41" r:id="rId1" display="https://exceltemplate.net/support/ "/>
    <hyperlink ref="A41:L41" r:id="rId2" display="https://exceltemplate.net/support/"/>
  </hyperlinks>
  <pageMargins left="0.75" right="0.75" top="1" bottom="1" header="0.5" footer="0.5"/>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Team Setup</vt:lpstr>
      <vt:lpstr>Group Stages</vt:lpstr>
      <vt:lpstr>Knock Out Phase</vt:lpstr>
      <vt:lpstr>Dummy Table</vt:lpstr>
      <vt:lpstr>Copyright</vt:lpstr>
      <vt:lpstr>Copyright-2</vt:lpstr>
    </vt:vector>
  </TitlesOfParts>
  <Company>Exceltemplate.net</Company>
  <LinksUpToDate>false</LinksUpToDate>
  <SharedDoc>false</SharedDoc>
  <HyperlinkBase>http://exceltemplate.net/</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UEFA Europe League 2019/2020 Fixtures</dc:title>
  <dc:creator>exceltemplate.NET</dc:creator>
  <cp:keywords>Europe League, UEFA, UEFA Fixtures, Fixtures 2017/2018</cp:keywords>
  <cp:lastModifiedBy>@</cp:lastModifiedBy>
  <cp:lastPrinted>2016-09-13T05:07:23Z</cp:lastPrinted>
  <dcterms:created xsi:type="dcterms:W3CDTF">2008-04-13T01:23:18Z</dcterms:created>
  <dcterms:modified xsi:type="dcterms:W3CDTF">2019-11-20T14:50:21Z</dcterms:modified>
  <cp:category>Sport Spreadsheets</cp:category>
</cp:coreProperties>
</file>